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Questa_cartella_di_lavoro" hidePivotFieldList="1" defaultThemeVersion="124226"/>
  <mc:AlternateContent xmlns:mc="http://schemas.openxmlformats.org/markup-compatibility/2006">
    <mc:Choice Requires="x15">
      <x15ac:absPath xmlns:x15ac="http://schemas.microsoft.com/office/spreadsheetml/2010/11/ac" url="C:\Users\Utente\Desktop\Riapertura riconoscineti 24 CFU 2024\"/>
    </mc:Choice>
  </mc:AlternateContent>
  <xr:revisionPtr revIDLastSave="0" documentId="13_ncr:1_{2E333361-B283-4281-8166-3AF587318A96}" xr6:coauthVersionLast="36" xr6:coauthVersionMax="36" xr10:uidLastSave="{00000000-0000-0000-0000-000000000000}"/>
  <workbookProtection workbookAlgorithmName="SHA-512" workbookHashValue="WcWJmsa1ht9RH3nIQa4fUGydsVqRV48nxH+GRuu3lrrUig+X1iBTeyYBaJO1HdY1X/fAksC58H8dOUNOIrlMNg==" workbookSaltValue="gQwO3mo/epysw2qQUHUfPg==" workbookSpinCount="100000" lockStructure="1"/>
  <bookViews>
    <workbookView xWindow="0" yWindow="0" windowWidth="28800" windowHeight="12300" tabRatio="749" firstSheet="5" activeTab="8" xr2:uid="{00000000-000D-0000-FFFF-FFFF00000000}"/>
  </bookViews>
  <sheets>
    <sheet name="CFU associabili" sheetId="1" state="hidden" r:id="rId1"/>
    <sheet name="Esami Riconoscibili (2)" sheetId="12" state="hidden" r:id="rId2"/>
    <sheet name="Dati Studi Universitari" sheetId="4" state="hidden" r:id="rId3"/>
    <sheet name="Dati di input ammissibili" sheetId="6" state="hidden" r:id="rId4"/>
    <sheet name="Dich Titoli (Vecchio) " sheetId="5" state="hidden" r:id="rId5"/>
    <sheet name="Dati Anagrafici" sheetId="2" r:id="rId6"/>
    <sheet name="Dichiarazione Titoli di Studio" sheetId="15" r:id="rId7"/>
    <sheet name="Dichiarazione Esami Sostenuti" sheetId="14" r:id="rId8"/>
    <sheet name="Sezione Finale" sheetId="7" r:id="rId9"/>
    <sheet name="Controllo Errori" sheetId="8" r:id="rId10"/>
    <sheet name="Foglio1" sheetId="9" state="hidden" r:id="rId11"/>
    <sheet name="Istruzioni per la compilazione" sheetId="11" r:id="rId12"/>
    <sheet name="Sintesi istanza" sheetId="16" r:id="rId13"/>
  </sheets>
  <definedNames>
    <definedName name="_xlnm._FilterDatabase" localSheetId="1" hidden="1">'Esami Riconoscibili (2)'!$B$70:$G$85</definedName>
    <definedName name="_xlnm.Print_Area" localSheetId="9">'Controllo Errori'!$A$1:$B$25</definedName>
    <definedName name="_xlnm.Print_Area" localSheetId="5">'Dati Anagrafici'!$A$1:$S$26</definedName>
    <definedName name="_xlnm.Print_Area" localSheetId="4">'Dich Titoli (Vecchio) '!$A$1:$K$58</definedName>
    <definedName name="_xlnm.Print_Area" localSheetId="7">'Dichiarazione Esami Sostenuti'!$A$1:$H$116</definedName>
    <definedName name="_xlnm.Print_Area" localSheetId="6">'Dichiarazione Titoli di Studio'!$A$1:$J$18</definedName>
    <definedName name="_xlnm.Print_Area" localSheetId="1">'Esami Riconoscibili (2)'!$B$1:$C$105</definedName>
    <definedName name="_xlnm.Print_Area" localSheetId="11">'Istruzioni per la compilazione'!$A$1:$R$31</definedName>
    <definedName name="_xlnm.Print_Area" localSheetId="8">'Sezione Finale'!$D$2:$P$14</definedName>
    <definedName name="Esami_riconoscibili_A">'CFU associabili'!$A$18:$A$37</definedName>
    <definedName name="Esami_Riconoscibili_AMBITO_C">'CFU associabili'!$A$2:$A$6</definedName>
    <definedName name="Esami_Riconoscibili_B">'CFU associabili'!$A$9:$A$15</definedName>
    <definedName name="Esami_riconoscibili_D">'CFU associabili'!$A$40:$A$55</definedName>
    <definedName name="EsamiRiconoscibiliAMBITO_C">'CFU associabili'!$A$2:$A$3</definedName>
  </definedNames>
  <calcPr calcId="191029"/>
</workbook>
</file>

<file path=xl/calcChain.xml><?xml version="1.0" encoding="utf-8"?>
<calcChain xmlns="http://schemas.openxmlformats.org/spreadsheetml/2006/main">
  <c r="E16" i="15" l="1"/>
  <c r="M9" i="15"/>
  <c r="I79" i="14" l="1"/>
  <c r="A85" i="14" s="1"/>
  <c r="I57" i="14"/>
  <c r="A63" i="14" s="1"/>
  <c r="A52" i="14"/>
  <c r="I35" i="14"/>
  <c r="A41" i="14" s="1"/>
  <c r="I13" i="14"/>
  <c r="A19" i="14" s="1"/>
  <c r="B19" i="15"/>
  <c r="A3" i="8" l="1"/>
  <c r="E25" i="14" l="1"/>
  <c r="E16" i="14" l="1"/>
  <c r="AE4" i="16" l="1"/>
  <c r="AD4" i="16"/>
  <c r="Y4" i="16"/>
  <c r="V4" i="16"/>
  <c r="D12" i="7" l="1"/>
  <c r="D25" i="4" l="1"/>
  <c r="C25" i="4" s="1"/>
  <c r="V6" i="2"/>
  <c r="C26" i="2" s="1"/>
  <c r="B25" i="8" l="1"/>
  <c r="E91" i="14"/>
  <c r="E82" i="14"/>
  <c r="E38" i="14"/>
  <c r="E47" i="14"/>
  <c r="E69" i="14"/>
  <c r="E60" i="14"/>
  <c r="E90" i="14"/>
  <c r="E46" i="14"/>
  <c r="D27" i="4"/>
  <c r="D26" i="4"/>
  <c r="C27" i="4"/>
  <c r="C26" i="4"/>
  <c r="B84" i="14" l="1"/>
  <c r="B27" i="14"/>
  <c r="AB4" i="16"/>
  <c r="S4" i="16"/>
  <c r="P4" i="16"/>
  <c r="M4" i="16"/>
  <c r="J4" i="16"/>
  <c r="G4" i="16"/>
  <c r="AA5" i="16"/>
  <c r="AA6" i="16" s="1"/>
  <c r="AA4" i="16" s="1"/>
  <c r="X5" i="16"/>
  <c r="X6" i="16" s="1"/>
  <c r="X4" i="16" s="1"/>
  <c r="U5" i="16"/>
  <c r="U6" i="16" s="1"/>
  <c r="U4" i="16" s="1"/>
  <c r="R5" i="16"/>
  <c r="R6" i="16" s="1"/>
  <c r="R4" i="16" s="1"/>
  <c r="O5" i="16"/>
  <c r="O6" i="16" s="1"/>
  <c r="O4" i="16" s="1"/>
  <c r="L5" i="16"/>
  <c r="L6" i="16" s="1"/>
  <c r="L4" i="16" s="1"/>
  <c r="I5" i="16"/>
  <c r="I6" i="16" s="1"/>
  <c r="I4" i="16" s="1"/>
  <c r="F5" i="16"/>
  <c r="F6" i="16" s="1"/>
  <c r="F4" i="16" s="1"/>
  <c r="C4" i="16"/>
  <c r="B4" i="16"/>
  <c r="A4" i="16"/>
  <c r="E24" i="14" l="1"/>
  <c r="E15" i="14"/>
  <c r="E81" i="14"/>
  <c r="E68" i="14"/>
  <c r="E59" i="14"/>
  <c r="E37" i="14"/>
  <c r="B49" i="14"/>
  <c r="B95" i="14" l="1"/>
  <c r="B17" i="8" s="1"/>
  <c r="B94" i="14"/>
  <c r="B28" i="14"/>
  <c r="B50" i="14"/>
  <c r="B72" i="14"/>
  <c r="C99" i="14" l="1"/>
  <c r="T20" i="2"/>
  <c r="T19" i="2"/>
  <c r="L19" i="2" s="1"/>
  <c r="N87" i="14" l="1"/>
  <c r="Z4" i="16" s="1"/>
  <c r="N86" i="14"/>
  <c r="N78" i="14"/>
  <c r="P65" i="14"/>
  <c r="N65" i="14"/>
  <c r="T4" i="16" s="1"/>
  <c r="N64" i="14"/>
  <c r="P56" i="14"/>
  <c r="N56" i="14"/>
  <c r="Q4" i="16" s="1"/>
  <c r="N43" i="14"/>
  <c r="N42" i="14"/>
  <c r="P34" i="14"/>
  <c r="N34" i="14"/>
  <c r="K4" i="16" s="1"/>
  <c r="N21" i="14"/>
  <c r="H4" i="16" s="1"/>
  <c r="N20" i="14"/>
  <c r="N12" i="14"/>
  <c r="E4" i="16" s="1"/>
  <c r="E87" i="14"/>
  <c r="B93" i="14"/>
  <c r="G65" i="14"/>
  <c r="E66" i="14"/>
  <c r="E65" i="14"/>
  <c r="B71" i="14"/>
  <c r="B62" i="14"/>
  <c r="F27" i="5"/>
  <c r="B27" i="5"/>
  <c r="C116" i="14" l="1"/>
  <c r="B16" i="8" s="1"/>
  <c r="C115" i="14"/>
  <c r="B15" i="8" s="1"/>
  <c r="P43" i="14"/>
  <c r="N4" i="16"/>
  <c r="P78" i="14"/>
  <c r="W4" i="16"/>
  <c r="P87" i="14"/>
  <c r="O65" i="14"/>
  <c r="E53" i="14" s="1"/>
  <c r="P21" i="14"/>
  <c r="O21" i="14"/>
  <c r="E9" i="14" s="1"/>
  <c r="O43" i="14"/>
  <c r="E31" i="14" s="1"/>
  <c r="P12" i="14"/>
  <c r="O87" i="14"/>
  <c r="E75" i="14" s="1"/>
  <c r="L109" i="14" l="1"/>
  <c r="L106" i="14"/>
  <c r="E44" i="14"/>
  <c r="E43" i="14"/>
  <c r="B40" i="14"/>
  <c r="C114" i="14" l="1"/>
  <c r="B14" i="8" s="1"/>
  <c r="B18" i="14"/>
  <c r="E22" i="14"/>
  <c r="E12" i="15" l="1"/>
  <c r="E18" i="15"/>
  <c r="E14" i="15"/>
  <c r="E10" i="15"/>
  <c r="E17" i="15"/>
  <c r="E13" i="15"/>
  <c r="I15" i="5"/>
  <c r="I12" i="5"/>
  <c r="F96" i="14"/>
  <c r="E21" i="14"/>
  <c r="B11" i="8" l="1"/>
  <c r="C113" i="14"/>
  <c r="B13" i="8" s="1"/>
  <c r="M111" i="14"/>
  <c r="AC4" i="16" s="1"/>
  <c r="K102" i="14"/>
  <c r="F57" i="5"/>
  <c r="F55" i="5"/>
  <c r="F48" i="5"/>
  <c r="F46" i="5"/>
  <c r="F39" i="5"/>
  <c r="F37" i="5"/>
  <c r="F30" i="5"/>
  <c r="F28" i="5"/>
  <c r="I28" i="5"/>
  <c r="F31" i="5"/>
  <c r="F40" i="5"/>
  <c r="F49" i="5"/>
  <c r="F58" i="5"/>
  <c r="F60" i="5"/>
  <c r="I102" i="14" l="1"/>
  <c r="C106" i="14"/>
  <c r="C102" i="14"/>
  <c r="B18" i="8" s="1"/>
  <c r="C111" i="14"/>
  <c r="B22" i="8" s="1"/>
  <c r="H9" i="14"/>
  <c r="H31" i="14"/>
  <c r="H75" i="14"/>
  <c r="C100" i="14" s="1"/>
  <c r="H53" i="14"/>
  <c r="C104" i="14"/>
  <c r="C103" i="14"/>
  <c r="B19" i="8" s="1"/>
  <c r="D4" i="16"/>
  <c r="C109" i="14"/>
  <c r="B21" i="8" s="1"/>
  <c r="I57" i="5"/>
  <c r="I55" i="5"/>
  <c r="I48" i="5"/>
  <c r="I46" i="5"/>
  <c r="I39" i="5"/>
  <c r="I37" i="5"/>
  <c r="I30" i="5"/>
  <c r="B20" i="8" l="1"/>
  <c r="B10" i="8" l="1"/>
  <c r="N38" i="5" l="1"/>
  <c r="F62" i="5" l="1"/>
  <c r="F61" i="5"/>
  <c r="N27" i="5" l="1"/>
  <c r="N29" i="5"/>
  <c r="N36" i="5"/>
  <c r="N45" i="5"/>
  <c r="N47" i="5"/>
  <c r="N54" i="5"/>
  <c r="N56" i="5"/>
  <c r="P56" i="5"/>
  <c r="P54" i="5"/>
  <c r="P47" i="5"/>
  <c r="P45" i="5"/>
  <c r="P38" i="5"/>
  <c r="P36" i="5"/>
  <c r="P29" i="5"/>
  <c r="P27" i="5"/>
  <c r="Q23" i="2"/>
  <c r="M23" i="2"/>
  <c r="J23" i="2"/>
  <c r="E23" i="2"/>
  <c r="D23" i="2"/>
  <c r="C23" i="2"/>
  <c r="B23" i="2"/>
  <c r="G23" i="2"/>
  <c r="F23" i="2"/>
  <c r="C25" i="2"/>
  <c r="M64" i="5" l="1"/>
  <c r="O30" i="5"/>
  <c r="O57" i="5"/>
  <c r="O48" i="5"/>
  <c r="O39" i="5"/>
  <c r="O72" i="5"/>
  <c r="F72" i="5" s="1"/>
  <c r="G16" i="5"/>
  <c r="H57" i="5"/>
  <c r="H55" i="5"/>
  <c r="H48" i="5"/>
  <c r="H46" i="5"/>
  <c r="H39" i="5"/>
  <c r="H37" i="5"/>
  <c r="H28" i="5"/>
  <c r="H30" i="5"/>
  <c r="L20" i="2"/>
  <c r="C13" i="8"/>
  <c r="K56" i="5"/>
  <c r="K54" i="5"/>
  <c r="K47" i="5"/>
  <c r="K45" i="5"/>
  <c r="K38" i="5"/>
  <c r="K36" i="5"/>
  <c r="K27" i="5"/>
  <c r="K29" i="5"/>
  <c r="N70" i="5" l="1"/>
  <c r="F70" i="5" s="1"/>
  <c r="F64" i="5"/>
  <c r="F65" i="5"/>
  <c r="N67" i="5"/>
  <c r="F68" i="5" s="1"/>
  <c r="K30" i="5"/>
  <c r="K57" i="5"/>
  <c r="K55" i="5"/>
  <c r="K48" i="5"/>
  <c r="K46" i="5"/>
  <c r="K39" i="5"/>
  <c r="F18" i="7"/>
  <c r="F67" i="5" l="1"/>
  <c r="B57" i="5"/>
  <c r="B48" i="5"/>
  <c r="B39" i="5"/>
  <c r="B30" i="5"/>
  <c r="F16" i="5" l="1"/>
  <c r="K28" i="5"/>
  <c r="K37" i="5"/>
  <c r="T18" i="2"/>
  <c r="L18" i="2" s="1"/>
  <c r="P23" i="2"/>
  <c r="O23" i="2"/>
  <c r="N23" i="2"/>
  <c r="L23" i="2"/>
  <c r="K23" i="2"/>
  <c r="I23" i="2"/>
  <c r="H23" i="2"/>
  <c r="B5" i="8" l="1"/>
  <c r="C24" i="2"/>
  <c r="B7" i="8" s="1"/>
  <c r="B6" i="8" l="1"/>
  <c r="B2" i="8" s="1"/>
  <c r="B1" i="8" l="1"/>
  <c r="D4" i="7" s="1"/>
  <c r="I12" i="7" l="1"/>
  <c r="D5" i="7"/>
  <c r="D2" i="7"/>
  <c r="D3" i="7"/>
  <c r="I11" i="7"/>
  <c r="D14" i="7"/>
</calcChain>
</file>

<file path=xl/sharedStrings.xml><?xml version="1.0" encoding="utf-8"?>
<sst xmlns="http://schemas.openxmlformats.org/spreadsheetml/2006/main" count="686" uniqueCount="333">
  <si>
    <t>Esame 1</t>
  </si>
  <si>
    <t>Esame 2</t>
  </si>
  <si>
    <t>SSD</t>
  </si>
  <si>
    <t xml:space="preserve">ANTROPOLOGIA CULTURALE </t>
  </si>
  <si>
    <t xml:space="preserve">ANTROPOLOGIA CULTURALE CORSO AVANZATO </t>
  </si>
  <si>
    <t xml:space="preserve">ANTROPOLOGIA SOCIALE </t>
  </si>
  <si>
    <t>ETNOLOGIA</t>
  </si>
  <si>
    <t>ETNOANTROPOLOGIA</t>
  </si>
  <si>
    <t>Psicologia dello sviluppo</t>
  </si>
  <si>
    <t>Psicologia dell’educazione</t>
  </si>
  <si>
    <t>Psicologia del ciclo di vita</t>
  </si>
  <si>
    <t>Psicologia generale</t>
  </si>
  <si>
    <t>Psicologia dei processi cognitivi</t>
  </si>
  <si>
    <t>Psicologia sociale</t>
  </si>
  <si>
    <t>Psicologia dei processi sociali e formativi</t>
  </si>
  <si>
    <t>M-PSI/04</t>
  </si>
  <si>
    <t>M-PSI/01</t>
  </si>
  <si>
    <t>M-PSI/05</t>
  </si>
  <si>
    <t>Esami_Riconoscibili_AMBITO_C</t>
  </si>
  <si>
    <t>M-DEA/01</t>
  </si>
  <si>
    <t>Esami_Riconoscibili_B</t>
  </si>
  <si>
    <t>Esami_riconoscibili_A</t>
  </si>
  <si>
    <t>PEDAGOGIA GENERALE (o PEDAGOGIA)</t>
  </si>
  <si>
    <t>PEDAGOGIA SOCIALE</t>
  </si>
  <si>
    <t>STORIA DELLA PEDAGOGIA</t>
  </si>
  <si>
    <t>STORIA DELLA SCUOLA E DELLE ISTITUZIONI EDUCATIVE</t>
  </si>
  <si>
    <t>STORIA DELL'EDUCAZIONE</t>
  </si>
  <si>
    <t>LETTERATURA E SCRITTURA PER L'INFANZIA</t>
  </si>
  <si>
    <t>STORIA DELLE POLITICHE EDUCATIVE</t>
  </si>
  <si>
    <t>STORIA DELL’EDUCAZIONE</t>
  </si>
  <si>
    <t>CULTURA PEDAGOGICA DELL’Età MODERNA</t>
  </si>
  <si>
    <t xml:space="preserve">DIDATTICA GENERALE, </t>
  </si>
  <si>
    <t>M-PED 03</t>
  </si>
  <si>
    <t xml:space="preserve">ELEMENTI DI DIDATTICA, </t>
  </si>
  <si>
    <t xml:space="preserve">PEDAGOGIA SPECIALE, </t>
  </si>
  <si>
    <t xml:space="preserve">MODELLI DI PROGETTAZIONE E VALUTAZIONE DIDATTICA, </t>
  </si>
  <si>
    <t>AMBIENTI PER L'APPRENDIMENTO,</t>
  </si>
  <si>
    <t>MODELLI DI VALUTAZIONE DEI SERVIZI EDUCATIVI.</t>
  </si>
  <si>
    <t>PEDAGOGIA SPERIMENTALE ELEMENTI DI METODOLOGIA DELLA RICERCA EDUCATIVA</t>
  </si>
  <si>
    <t>M-PED 04</t>
  </si>
  <si>
    <t>ELEMENTI DI PROGETTAZIONE E VALUTAZIONE DELLA RICERCA EDUCATIVA</t>
  </si>
  <si>
    <t>MODELLI DI PROGETTAZIONE DIDATTICA</t>
  </si>
  <si>
    <t>Esami_riconoscibili_D</t>
  </si>
  <si>
    <t>M-GGR/01</t>
  </si>
  <si>
    <t>L-LIN/02</t>
  </si>
  <si>
    <t xml:space="preserve">TECNOLOGIE DELL’ISTRUZIONE E DELL’APPRENDIMENTO </t>
  </si>
  <si>
    <t xml:space="preserve">Didattica delle Lingue Moderne </t>
  </si>
  <si>
    <t>TRADUTTOLOGIA</t>
  </si>
  <si>
    <t>L-LIN02</t>
  </si>
  <si>
    <t>Metodologia e Didattica degli Audiovisivi</t>
  </si>
  <si>
    <t>ABST 59</t>
  </si>
  <si>
    <t>Pedagogia e Didattica dell'Arte (Accademia B. Arti)</t>
  </si>
  <si>
    <t>VO/CFU</t>
  </si>
  <si>
    <t>Pedagogia  (Accademia B. Arti)</t>
  </si>
  <si>
    <t>AL MAGNIFICO RETTORE</t>
  </si>
  <si>
    <t>UNIVERSITA’ DEGLI STUDI</t>
  </si>
  <si>
    <t>DI SASSARI</t>
  </si>
  <si>
    <t xml:space="preserve">Il sottoscritto </t>
  </si>
  <si>
    <t>Nato a</t>
  </si>
  <si>
    <t>Nazionalità</t>
  </si>
  <si>
    <t>Residente in</t>
  </si>
  <si>
    <t>ai sensi degli artt. 46, 47 e 38 del D.P.R. 28.12.2000 n. 445, sotto la propria responsabilità</t>
  </si>
  <si>
    <t>DICHIARA</t>
  </si>
  <si>
    <t>V.O.</t>
  </si>
  <si>
    <t>Scuola di Specializzazione</t>
  </si>
  <si>
    <t>Master di 1° livello</t>
  </si>
  <si>
    <t>Dottorato di Ricerca</t>
  </si>
  <si>
    <t>Corsi singoli</t>
  </si>
  <si>
    <t>Master di 2° livello</t>
  </si>
  <si>
    <t>INOLTRE DICHIARA</t>
  </si>
  <si>
    <t>Ambito A (PEDAGOGIA, PEDAGOGIA SPECIALE, DIDATTICA DELL’INCLUSIONE)</t>
  </si>
  <si>
    <t>Ambito B ( PSICOLOGIA)</t>
  </si>
  <si>
    <t>Ambito C (ANTROPOLOGIA)</t>
  </si>
  <si>
    <t>Ambito D (METODOLOGIE E TECNOLOGIE DIDATTICHE )</t>
  </si>
  <si>
    <t>di aver sostenuto gli esami di seguito riportati  nei rispettivi ambiti previsti dal DM 616/2017</t>
  </si>
  <si>
    <t>Denominazione esame</t>
  </si>
  <si>
    <t>Il sottoscritto dichiara, altresì, di essere a conoscenza che ai sensi dell’art. 13 del D.L.vo 30 giugno 2003, n. 196 “Codice in materia di protezione dei dati personali” i propri dati personali, saranno utilizzati dall’Università degli Studi di Sassari per le sole finalità istituzionali, nel rispetto delle disposizioni vigenti.</t>
  </si>
  <si>
    <t xml:space="preserve">Università di </t>
  </si>
  <si>
    <t>Laurea Triennale</t>
  </si>
  <si>
    <t>Laurea Magistrale/Specialistica</t>
  </si>
  <si>
    <t>NB: Lasciare i dati sottostanti. Vengono utilizzati come ELENCO per l'indicazione degli esami</t>
  </si>
  <si>
    <t>Teledidattica</t>
  </si>
  <si>
    <t>AMBIENTI PER L'APPRENDIMENTO</t>
  </si>
  <si>
    <t>DIDATTICA GENERALE</t>
  </si>
  <si>
    <t>ELEMENTI DI DIDATTICA</t>
  </si>
  <si>
    <t>STORIA DEI PROCESSI FORMATIVI</t>
  </si>
  <si>
    <t>PEDAGOGIA SPECIALE</t>
  </si>
  <si>
    <t>DIDATTICA DELLA GEOGRAFIA</t>
  </si>
  <si>
    <t>GLOTTODIDATTICA</t>
  </si>
  <si>
    <t xml:space="preserve"> (MPED04)</t>
  </si>
  <si>
    <t>Sassari, lì</t>
  </si>
  <si>
    <t>data inizio presentazione domande</t>
  </si>
  <si>
    <t>Data scadenza presentazione domande</t>
  </si>
  <si>
    <t xml:space="preserve">email:  </t>
  </si>
  <si>
    <t>F.to</t>
  </si>
  <si>
    <t>di aver conseguito   i seguenti titoli di studio (indicare la denominazione della Laurea, o del Master, o del Dottorato o dei Corsi Singoli)</t>
  </si>
  <si>
    <t>e di non essere attualmente iscritto al PF24 dell'Università di Sassari</t>
  </si>
  <si>
    <t>(Eventuale Modalità Teledidattica)</t>
  </si>
  <si>
    <t>V.O. (Semestrale)</t>
  </si>
  <si>
    <t>V.O. (Annuale)</t>
  </si>
  <si>
    <t>@</t>
  </si>
  <si>
    <t>.</t>
  </si>
  <si>
    <t>blank</t>
  </si>
  <si>
    <t>Sezione dati Anagrafici</t>
  </si>
  <si>
    <t xml:space="preserve">Sezione Titoli </t>
  </si>
  <si>
    <t>CFU o Durata</t>
  </si>
  <si>
    <t>Titolo di studi relativo all'esame (da elenco titoli)</t>
  </si>
  <si>
    <t>Titoli di studio</t>
  </si>
  <si>
    <t>Esami indicati in Ambito   A</t>
  </si>
  <si>
    <t>Esami indicati in Ambito   B</t>
  </si>
  <si>
    <t>Esami indicati in Ambito   C</t>
  </si>
  <si>
    <t>Esami indicati in Ambito   D</t>
  </si>
  <si>
    <t>M-PED/01</t>
  </si>
  <si>
    <t>M-PED/02</t>
  </si>
  <si>
    <t>M-PED/03</t>
  </si>
  <si>
    <t>M-PED/04</t>
  </si>
  <si>
    <t>ABST/59</t>
  </si>
  <si>
    <t>Controllo su limite massimo di 12 CFU  in Teledidattica</t>
  </si>
  <si>
    <t>email</t>
  </si>
  <si>
    <t>Codice Fiscale</t>
  </si>
  <si>
    <t>Completezza dati anagrafici</t>
  </si>
  <si>
    <t>Verifica 24 CFU</t>
  </si>
  <si>
    <t>Minimo 24</t>
  </si>
  <si>
    <t>Ambito</t>
  </si>
  <si>
    <t>Verifica max 12 CFU su un solo ambito</t>
  </si>
  <si>
    <t>Verifica max 12 CFU in Teledidattica</t>
  </si>
  <si>
    <t>Scienze dell'Educazione e della Formazione Continua, Industria e Comunicazione</t>
  </si>
  <si>
    <t xml:space="preserve">L'ultimo titolo di studio con cui sono stati acquisiti crediti indicati negli ambiti successivi DEVE essere conseguito presso l'Università di Sassari </t>
  </si>
  <si>
    <t>Sezione Titoli di Studio</t>
  </si>
  <si>
    <t>Filosofia</t>
  </si>
  <si>
    <t>1-Laurea Magistrale/Specialistica - Filosofia</t>
  </si>
  <si>
    <t xml:space="preserve">AMBITO A </t>
  </si>
  <si>
    <t xml:space="preserve">Altri AMBITI (B, C, D) </t>
  </si>
  <si>
    <t>Seguire le istruzioni analoghe a quelle definite per l'Ambito A</t>
  </si>
  <si>
    <t>Inserire al massimo 12 CFU in modalità Teledidattica</t>
  </si>
  <si>
    <t>Verifica compilazione di almeno 3 ambiti</t>
  </si>
  <si>
    <t xml:space="preserve">Per ogni Titolo di Studio inserito: verificare che non appaiano messaggi di errore visualizzati in prossimità dei campi compilati. </t>
  </si>
  <si>
    <t>Verifica che un esame non sia inserito più volte in uno stesso ambito o tra gli ambiti A e D</t>
  </si>
  <si>
    <t>Sassari</t>
  </si>
  <si>
    <t>I) Compilare nell'ordine i seguenti fogli</t>
  </si>
  <si>
    <t>Dati Anagrafici:</t>
  </si>
  <si>
    <t xml:space="preserve">II) Eseguire il controllo finale </t>
  </si>
  <si>
    <r>
      <rPr>
        <sz val="11"/>
        <rFont val="Verdana"/>
        <family val="2"/>
      </rPr>
      <t>CODICE FISCALE</t>
    </r>
    <r>
      <rPr>
        <b/>
        <sz val="11"/>
        <rFont val="Verdana"/>
        <family val="2"/>
      </rPr>
      <t xml:space="preserve"> 
</t>
    </r>
    <r>
      <rPr>
        <b/>
        <sz val="11"/>
        <color rgb="FF00B050"/>
        <rFont val="Verdana"/>
        <family val="2"/>
      </rPr>
      <t>NB: inserire un solo carattere 
(o cifra) per ogni casella</t>
    </r>
  </si>
  <si>
    <t>La Sapienza - Roma</t>
  </si>
  <si>
    <t>Verifica che un esame non sia inserito più volte</t>
  </si>
  <si>
    <t>controllo se un Esame di  Ambito A è ripetuto in Ambito D (o viceversa)</t>
  </si>
  <si>
    <r>
      <t xml:space="preserve">Note: successivamente, negli Ambiti A  B  C e D, indicare:   </t>
    </r>
    <r>
      <rPr>
        <b/>
        <u/>
        <sz val="18"/>
        <color rgb="FF009644"/>
        <rFont val="Calibri"/>
        <family val="2"/>
        <scheme val="minor"/>
      </rPr>
      <t>massimo 2 esami per ambito</t>
    </r>
    <r>
      <rPr>
        <b/>
        <sz val="18"/>
        <color rgb="FF009644"/>
        <rFont val="Calibri"/>
        <family val="2"/>
        <scheme val="minor"/>
      </rPr>
      <t xml:space="preserve">;   </t>
    </r>
    <r>
      <rPr>
        <b/>
        <u/>
        <sz val="18"/>
        <color rgb="FF009644"/>
        <rFont val="Calibri"/>
        <family val="2"/>
        <scheme val="minor"/>
      </rPr>
      <t>esami in almeno 3 ambiti</t>
    </r>
    <r>
      <rPr>
        <b/>
        <sz val="18"/>
        <color rgb="FF009644"/>
        <rFont val="Calibri"/>
        <family val="2"/>
        <scheme val="minor"/>
      </rPr>
      <t xml:space="preserve">;  </t>
    </r>
    <r>
      <rPr>
        <b/>
        <u/>
        <sz val="18"/>
        <color rgb="FF009644"/>
        <rFont val="Calibri"/>
        <family val="2"/>
        <scheme val="minor"/>
      </rPr>
      <t>crediti pari o superiori a 12 CFU al più in un solo ambito</t>
    </r>
  </si>
  <si>
    <t>VERIFICHE GENERALI</t>
  </si>
  <si>
    <t>A partire dalla prima riga indicare i titoli di studio, in ordine dal meno recente al più recente (che deve essere indicato come ultimo titolo dell'elenco).</t>
  </si>
  <si>
    <t xml:space="preserve">Tel. Abitazione  </t>
  </si>
  <si>
    <t>Tel. Mobile</t>
  </si>
  <si>
    <t>Etnostoria</t>
  </si>
  <si>
    <t xml:space="preserve">Elementi di Didattica </t>
  </si>
  <si>
    <t>Didattica e Ricerca Educativa (corso integrato)</t>
  </si>
  <si>
    <t xml:space="preserve">Psicologia dello Sviluppo </t>
  </si>
  <si>
    <t xml:space="preserve">Antropologia Culturale e Etnologia </t>
  </si>
  <si>
    <t>Etnoantropologia</t>
  </si>
  <si>
    <t>Didattica Generale 1</t>
  </si>
  <si>
    <t>Elementi di Progettazione, Valutazione e Ricerca Educativa</t>
  </si>
  <si>
    <t>nr. 
d'ordine</t>
  </si>
  <si>
    <t>Laurea Vecchio Ordinamento (ante riforma 1999)</t>
  </si>
  <si>
    <t>1-Laurea Vecchio Ordinamento (ante riforma 1999) - Scienze dell'Educazione e della Formazione Continua, Industria e Comunicazione</t>
  </si>
  <si>
    <t xml:space="preserve">Gli esami indicati non devono presentare reiterazione di contenuti.  </t>
  </si>
  <si>
    <t>Didattica Generale 2</t>
  </si>
  <si>
    <t>Psicologia Generale 2</t>
  </si>
  <si>
    <t>Psicologia dell'Educazione 2</t>
  </si>
  <si>
    <t>Gli esami con descrizione in numeri romani 'I' e 'II', riferiti ad esami distinti aventi stessa denominazione per differenziare semestralità o annualità successive, devono essere riportati nella equivalente numerazione araba '1' e '2'</t>
  </si>
  <si>
    <t>30 e Lode</t>
  </si>
  <si>
    <t>VOTO (/30)</t>
  </si>
  <si>
    <t>Voto ( /30)</t>
  </si>
  <si>
    <t>(Nota Bene: indicare, in  ordine dal meno recente al più recente,  solo i TITOLI DI STUDIO con cui sono stati conseguiti gli ESAMI / CFU indicati nel seguito della presente istanza):</t>
  </si>
  <si>
    <r>
      <t xml:space="preserve">Tipo Titolo di Studi 
</t>
    </r>
    <r>
      <rPr>
        <b/>
        <sz val="12"/>
        <color rgb="FF00B050"/>
        <rFont val="Calibri"/>
        <family val="2"/>
        <scheme val="minor"/>
      </rPr>
      <t>(se il titolo di studi non è stato ancora conseguito,</t>
    </r>
    <r>
      <rPr>
        <b/>
        <u/>
        <sz val="12"/>
        <color rgb="FF00B050"/>
        <rFont val="Calibri"/>
        <family val="2"/>
        <scheme val="minor"/>
      </rPr>
      <t xml:space="preserve"> in fondo alla riga</t>
    </r>
    <r>
      <rPr>
        <b/>
        <sz val="12"/>
        <color rgb="FF00B050"/>
        <rFont val="Calibri"/>
        <family val="2"/>
        <scheme val="minor"/>
      </rPr>
      <t xml:space="preserve"> si deve indicare </t>
    </r>
    <r>
      <rPr>
        <b/>
        <u/>
        <sz val="12"/>
        <color rgb="FF00B050"/>
        <rFont val="Calibri"/>
        <family val="2"/>
        <scheme val="minor"/>
      </rPr>
      <t>la data di conseguimento dell'ultimo degli esami sostenuti</t>
    </r>
    <r>
      <rPr>
        <b/>
        <sz val="12"/>
        <color rgb="FF00B050"/>
        <rFont val="Calibri"/>
        <family val="2"/>
        <scheme val="minor"/>
      </rPr>
      <t>, indicati nella presente istanza, relativi a questo ciclo di studi)</t>
    </r>
  </si>
  <si>
    <r>
      <t xml:space="preserve">Denominazione Titolo di Studi
</t>
    </r>
    <r>
      <rPr>
        <b/>
        <sz val="12"/>
        <color rgb="FF00B050"/>
        <rFont val="Calibri"/>
        <family val="2"/>
        <scheme val="minor"/>
      </rPr>
      <t>(scrivere ad es.: Scienze dell'Educazione; o Lettere Moderne; etc)
NON indicare gli eventuali indirizzi/percorsi specifici</t>
    </r>
  </si>
  <si>
    <r>
      <t xml:space="preserve">Nome Università
</t>
    </r>
    <r>
      <rPr>
        <b/>
        <sz val="12"/>
        <color rgb="FF00B050"/>
        <rFont val="Calibri"/>
        <family val="2"/>
        <scheme val="minor"/>
      </rPr>
      <t>(digitare: "Sassari"</t>
    </r>
    <r>
      <rPr>
        <b/>
        <u/>
        <sz val="12"/>
        <color rgb="FF00B050"/>
        <rFont val="Calibri"/>
        <family val="2"/>
        <scheme val="minor"/>
      </rPr>
      <t>,</t>
    </r>
    <r>
      <rPr>
        <b/>
        <sz val="12"/>
        <color rgb="FF00B050"/>
        <rFont val="Calibri"/>
        <family val="2"/>
        <scheme val="minor"/>
      </rPr>
      <t xml:space="preserve"> o eventuale altra Università. Ad es. "Bologna",  "La Sapienza - Roma", etc.)
NB: ai sensi del DM 616/2017, l'ultima delle Università inserite DEVE essere Sassari)</t>
    </r>
  </si>
  <si>
    <r>
      <t xml:space="preserve">Data conseguimento titolo
</t>
    </r>
    <r>
      <rPr>
        <b/>
        <sz val="12"/>
        <color rgb="FF00B050"/>
        <rFont val="Calibri"/>
        <family val="2"/>
        <scheme val="minor"/>
      </rPr>
      <t>(NB: riportare i titoli conseguiti in ordine dal meno recente al più recente)</t>
    </r>
  </si>
  <si>
    <t>reate</t>
  </si>
  <si>
    <r>
      <t xml:space="preserve">Gli esami con descrizione in numeri romani 'I' e 'II', riferiti ad esami distinti aventi stessa denominazione per differenziare semestralità o annualità successive, devono essere riportati nella equivalente numerazione araba '1' e '2'.   
Ad es.: "Didattica Generale </t>
    </r>
    <r>
      <rPr>
        <b/>
        <sz val="16"/>
        <color rgb="FF009644"/>
        <rFont val="Times New Roman"/>
        <family val="1"/>
      </rPr>
      <t>I</t>
    </r>
    <r>
      <rPr>
        <b/>
        <sz val="16"/>
        <color rgb="FF009644"/>
        <rFont val="Calibri"/>
        <family val="2"/>
        <scheme val="minor"/>
      </rPr>
      <t>", va selezionato dall'elenco "Didattica Generale 1"</t>
    </r>
  </si>
  <si>
    <t>2-Dottorato di Ricerca - Filosofia</t>
  </si>
  <si>
    <t>Titolo di studi relativo all'esame 
(da Dichiarazione Titoli)</t>
  </si>
  <si>
    <t>Prov.</t>
  </si>
  <si>
    <t>il</t>
  </si>
  <si>
    <t>N.</t>
  </si>
  <si>
    <t>indirizzo</t>
  </si>
  <si>
    <t>CAP</t>
  </si>
  <si>
    <t>INTERA DICHIARAZIONE</t>
  </si>
  <si>
    <t>(selezionare la Modalità Teledidattica solo se l'esame è stato sostenuto in tale modalità. Altrimenti lasciare il campo vuoto)</t>
  </si>
  <si>
    <r>
      <t xml:space="preserve">Gli esami indicati non devono presentare reiterazione di contenuti. 
</t>
    </r>
    <r>
      <rPr>
        <b/>
        <sz val="16"/>
        <color rgb="FFFF0000"/>
        <rFont val="Calibri"/>
        <family val="2"/>
        <scheme val="minor"/>
      </rPr>
      <t>In caso di dichiarazione di esami con reiterazione di contenuti, l'istanza NON POTRA' ESSERE APPROVATA. 
Ad es. sussiste reiterazione di contenuti tra 'Elementi di Didattica' e 'Didattica Generale'.</t>
    </r>
  </si>
  <si>
    <t>COD_FIS</t>
  </si>
  <si>
    <t>COGNOME</t>
  </si>
  <si>
    <t>NOME</t>
  </si>
  <si>
    <t>Ambito A: Pedagogia, Pedagogia speciale, Didattica dell' Inclusione</t>
  </si>
  <si>
    <t xml:space="preserve">Ambito B: Psicologia                                     </t>
  </si>
  <si>
    <t xml:space="preserve">Ambito C: Antropologia  </t>
  </si>
  <si>
    <t>Ambito D: Tecniche e Metodologie  Didattiche</t>
  </si>
  <si>
    <t>Note:</t>
  </si>
  <si>
    <t>(nome)</t>
  </si>
  <si>
    <t>(cognome)</t>
  </si>
  <si>
    <t xml:space="preserve">Esami riconosciuti 
Denominazione, voto, VO/SSD,  durata/CFU originari
(eventualmente, se in Teledidattica)
</t>
  </si>
  <si>
    <t>Ateneo 
(indicato solo se diverso da UNISS) 
Corso di Studi</t>
  </si>
  <si>
    <t xml:space="preserve">Esami riconosciuti 
Denominazione, voto,  durata/CFU originari, VO/SSD
(eventualmente, se in Teledidattica)
</t>
  </si>
  <si>
    <t>(città)</t>
  </si>
  <si>
    <t>Ambito A (Pedagogia)</t>
  </si>
  <si>
    <t>Ambito B (Psicologia)</t>
  </si>
  <si>
    <t>Ambito C  (Antropologia)</t>
  </si>
  <si>
    <t>Ambito D (Metodologie e Tecnol. Didattiche)</t>
  </si>
  <si>
    <t>Controllo su inserimento di  12 CFU al più in un solo ambito</t>
  </si>
  <si>
    <t xml:space="preserve">
(CFU riconosciuti)</t>
  </si>
  <si>
    <t>Totale CFU Riconosciuti 
(ai fini DM 616/2017)</t>
  </si>
  <si>
    <r>
      <t xml:space="preserve">Nome Università
</t>
    </r>
    <r>
      <rPr>
        <b/>
        <sz val="12"/>
        <color rgb="FF00B050"/>
        <rFont val="Calibri"/>
        <family val="2"/>
        <scheme val="minor"/>
      </rPr>
      <t>(digitare: "Sassari"</t>
    </r>
    <r>
      <rPr>
        <b/>
        <u/>
        <sz val="12"/>
        <color rgb="FF00B050"/>
        <rFont val="Calibri"/>
        <family val="2"/>
        <scheme val="minor"/>
      </rPr>
      <t>,</t>
    </r>
    <r>
      <rPr>
        <b/>
        <sz val="12"/>
        <color rgb="FF00B050"/>
        <rFont val="Calibri"/>
        <family val="2"/>
        <scheme val="minor"/>
      </rPr>
      <t xml:space="preserve"> o eventuale altra Università. Ad es. "Bologna",  " Roma - La Sapienza", etc.)
NB: ai sensi del DM 616/2017, l'ultima delle Università dove si sono acquisiti i CFU dichiarati DEVE essere Sassari)</t>
    </r>
  </si>
  <si>
    <t>CFU o Durata (se V.O.: semestrale o annuale)</t>
  </si>
  <si>
    <t xml:space="preserve">Controllo su inserimento di 24CFU riconoscibili e non oltre </t>
  </si>
  <si>
    <t>Ambito A 
(PEDAGOGIA, PEDAGOGIA SPECIALE, DIDATTICA DELL’INCLUSIONE)</t>
  </si>
  <si>
    <t>Totale CFU riconoscibili in Ambito B</t>
  </si>
  <si>
    <t>Totale CFU riconoscibili in Ambito A</t>
  </si>
  <si>
    <t>Totale CFU riconoscibili in Ambito C</t>
  </si>
  <si>
    <t>Totale CFU riconoscibili in Ambito D</t>
  </si>
  <si>
    <t xml:space="preserve">Sezione Finale </t>
  </si>
  <si>
    <t>Indicazione data di presentazione domanda</t>
  </si>
  <si>
    <t>Gli esami scelti dall'elenco e caratterizzati da 5 CFU vanno indicati con il valore originale di CFU. Saranno assimilati dalla Commissione di valutazione equivalenti a contenuti e obiettivi formativi corrispondenti ad un esame di 6 CFU</t>
  </si>
  <si>
    <r>
      <t xml:space="preserve">Note: successivamente, negli Ambiti A  B  C e D, indicare:   
- </t>
    </r>
    <r>
      <rPr>
        <b/>
        <u/>
        <sz val="16"/>
        <color rgb="FF009644"/>
        <rFont val="Calibri"/>
        <family val="2"/>
        <scheme val="minor"/>
      </rPr>
      <t>minimo 6 CFU riconoscibili, in almeno 3 ambiti</t>
    </r>
    <r>
      <rPr>
        <b/>
        <sz val="16"/>
        <color rgb="FF009644"/>
        <rFont val="Calibri"/>
        <family val="2"/>
        <scheme val="minor"/>
      </rPr>
      <t xml:space="preserve">;  
- è possibile indicare 12 CFU </t>
    </r>
    <r>
      <rPr>
        <b/>
        <u/>
        <sz val="16"/>
        <color rgb="FF009644"/>
        <rFont val="Calibri"/>
        <family val="2"/>
        <scheme val="minor"/>
      </rPr>
      <t>riconoscibili al massimo in un solo ambito
- indicare esami corrispondenti a 24 CFU riconoscibili, e non oltre (controllare il totale dei CFU riconoscibili in fondo al foglio e in corrispondenza di ogni ambito).</t>
    </r>
  </si>
  <si>
    <t>Inserire i dati richiesti e verificare che non siano segnalati messaggi di errore nel foglio "Dati Anagrafici" (in colore rosso, nella parte bassa del foglio ). 
Per cancellare un dato inserito, posizionarsi sulla casella  e premere il tasto CANC</t>
  </si>
  <si>
    <t>Totale CFU riconosciuti in modalità Teledidattica</t>
  </si>
  <si>
    <t>Esame 1 - Ambito A</t>
  </si>
  <si>
    <t>Esame 2 - Ambito A</t>
  </si>
  <si>
    <t>Esame 1 - Ambito B</t>
  </si>
  <si>
    <t>Esame 2 - Ambito B</t>
  </si>
  <si>
    <t>Esame 1 - Ambito C</t>
  </si>
  <si>
    <t>Esame 2 - Ambito C</t>
  </si>
  <si>
    <t>Esame 1 - Ambito D</t>
  </si>
  <si>
    <t>Esame 2 - Ambito D</t>
  </si>
  <si>
    <r>
      <t xml:space="preserve">Data conseguimento titolo
</t>
    </r>
    <r>
      <rPr>
        <b/>
        <sz val="12"/>
        <color rgb="FF00B050"/>
        <rFont val="Calibri"/>
        <family val="2"/>
        <scheme val="minor"/>
      </rPr>
      <t>(NB: riportare i titoli conseguiti in ordine temporale, a partire dal meno recente)</t>
    </r>
  </si>
  <si>
    <t>Totale CFU riconoscibili della dichiarazione</t>
  </si>
  <si>
    <t>ATTENZIONE: nel caso in cui avvenga una  modifica del tipo o della denominazione del Titolo di Studio inserito nella sezione Titoli di Studio dopo  che sono  stati compilati dati relativi agli Esami Sostenuti,   è NECESSARIO ricompilare TUTTI i  campi della sezione Dichiarazione Esami Sostenuti contenenti il Titolo di Studio modificato.</t>
  </si>
  <si>
    <t>Inserire un numero di esami con crediti RICONOSCIBILI pari a 12 CFU  in corrispondenza di un SOLO Ambito.</t>
  </si>
  <si>
    <t xml:space="preserve"> Per ogni Esame inserito verificare che non appaiano messaggi di errore (testo in colore rosso) visualizzati in prossimità dei campi compilati. In loro assenza, verificare che non siano visualizzati messaggi di errore per la verifica generale, più in basso, dopo l'Ambito D e nella sezione Controllo Errori.</t>
  </si>
  <si>
    <t>Alla conclusione dell'inserimento di tutti gli esami nei rispettivi ambiti,   verificare che non siano visualizzati messaggi di errore di verifica generale (testo in colore rosso), indicati più in basso, dopo l'ambito D e nella sezione Controllo Errori.</t>
  </si>
  <si>
    <t>DENOMINAZIONE ESAME</t>
  </si>
  <si>
    <t>SSD / V.O.</t>
  </si>
  <si>
    <t>Dichiarazione Titoli di Studio:  (NB: i vincoli riportati di seguito corrispondono a quelli previsti dal DM 616/2017)</t>
  </si>
  <si>
    <t xml:space="preserve">Dichiarazione Esami Sostenuti </t>
  </si>
  <si>
    <t>Inserire al massimo 2 Esami per ogni ambito (in caso di più esami inseribili presenti nella propria carriera il candidato deve scegliere tra essi quali inserire nell'istanza; ad esempio optando per quelli con voto superiore). Nella scelta degli esami dal menù a discesa, per spostarsi in alto o in basso usare il mouse muovendo il cursore laterale. Se si intende inserire un solo esame per l'ambito, compilare solo i campi relativi ad Esame 1.</t>
  </si>
  <si>
    <r>
      <t xml:space="preserve">Indicare  </t>
    </r>
    <r>
      <rPr>
        <b/>
        <sz val="12"/>
        <color theme="1"/>
        <rFont val="Calibri"/>
        <family val="2"/>
        <scheme val="minor"/>
      </rPr>
      <t>solo</t>
    </r>
    <r>
      <rPr>
        <sz val="12"/>
        <color theme="1"/>
        <rFont val="Calibri"/>
        <family val="2"/>
        <scheme val="minor"/>
      </rPr>
      <t xml:space="preserve"> i titoli di studio i</t>
    </r>
    <r>
      <rPr>
        <b/>
        <sz val="12"/>
        <color theme="1"/>
        <rFont val="Calibri"/>
        <family val="2"/>
        <scheme val="minor"/>
      </rPr>
      <t>n corrispondenza degli esami riportati in uno dei 4 ambiti</t>
    </r>
  </si>
  <si>
    <r>
      <t>Per ogni esame inserito, compilare  le informazioni richieste</t>
    </r>
    <r>
      <rPr>
        <b/>
        <sz val="12"/>
        <color theme="1"/>
        <rFont val="Calibri"/>
        <family val="2"/>
        <scheme val="minor"/>
      </rPr>
      <t xml:space="preserve"> per tutte le caselle</t>
    </r>
    <r>
      <rPr>
        <sz val="12"/>
        <color theme="1"/>
        <rFont val="Calibri"/>
        <family val="2"/>
        <scheme val="minor"/>
      </rPr>
      <t xml:space="preserve"> (eccezione per il campo "Modalità Teledidattica" che deve essere compilato SOLO nel caso in cui l'esame è stato sostenuto attraverso questa modalità (secondo il DM 616/2017 possono essere riconosciuti al massimo 12 CFU in Teledidattica)</t>
    </r>
  </si>
  <si>
    <r>
      <t xml:space="preserve">Verificare dal foglio </t>
    </r>
    <r>
      <rPr>
        <b/>
        <sz val="12"/>
        <color theme="1"/>
        <rFont val="Calibri"/>
        <family val="2"/>
        <scheme val="minor"/>
      </rPr>
      <t xml:space="preserve">Controllo Errori </t>
    </r>
    <r>
      <rPr>
        <sz val="12"/>
        <color theme="1"/>
        <rFont val="Calibri"/>
        <family val="2"/>
        <scheme val="minor"/>
      </rPr>
      <t>che non siano evidenziati  messaggi di errore (testo in colore rosso); in caso contrario correggere il dato errato o incongruente.</t>
    </r>
  </si>
  <si>
    <r>
      <t xml:space="preserve">Se non è visualizzato nessun messaggio di errore (in colore rosso) e invece appare il messaggio  (colore verde) "Nessun Errore Rilevato nell'intera Dichiarazione",  passare al foglio 'Sezione Finale' e inserire la data di sottoscrizione che deve essere compresa in uno dei giorni in cui è possibile trasmettere l'istanza di riconoscimento.
</t>
    </r>
    <r>
      <rPr>
        <b/>
        <sz val="12"/>
        <color theme="1"/>
        <rFont val="Calibri"/>
        <family val="2"/>
        <scheme val="minor"/>
      </rPr>
      <t>NB:  non verranno prese in considerazione le istanze con file contenenti messaggi di errore (testo in colore rosso) e che comportano una Sezione Finale non corretta !</t>
    </r>
  </si>
  <si>
    <t xml:space="preserve">Compilare i dati su un Ambito solo se si intende inserire almeno 1 esame. In caso contrario lasciare vuoti tutti i campi  (per cancellare un campo posizionarsi sopra e premere CANC). Un'esame deve avere almeno 5 CFU (o, se del V. O.,  aver durata semestrale). </t>
  </si>
  <si>
    <t>M-PED/03; M-PED/04</t>
  </si>
  <si>
    <t xml:space="preserve">M-PED/03; M-PED/04 </t>
  </si>
  <si>
    <t>Didattica</t>
  </si>
  <si>
    <t>Didattica Generale e Pedagogia Speciale</t>
  </si>
  <si>
    <t>Elementi di Didattica</t>
  </si>
  <si>
    <t>Letteratura e Scrittura per l'Infanzia</t>
  </si>
  <si>
    <t>Modelli di Progettazione e Valutazione nei Sistemi Formativi</t>
  </si>
  <si>
    <t>Pedagogia</t>
  </si>
  <si>
    <t>Pedagogia Generale</t>
  </si>
  <si>
    <t>Pedagogia Generale e Differenziata</t>
  </si>
  <si>
    <t>Pedagogia Generale e Pedagogia Sociale</t>
  </si>
  <si>
    <t>Pedagogia Sociale</t>
  </si>
  <si>
    <t>Pedagogia Sperimentale 1</t>
  </si>
  <si>
    <t>Pedagogia Sperimentale 2</t>
  </si>
  <si>
    <t>Storia dei Processi Formativi</t>
  </si>
  <si>
    <t>Storia dei Processi Formativi nella Modernità</t>
  </si>
  <si>
    <t>Storia della Pedagogia</t>
  </si>
  <si>
    <t>Storia della Pedagogia e Storia della Scuola e delle Istituzioni Educative</t>
  </si>
  <si>
    <t>Storia delle Politiche Educative</t>
  </si>
  <si>
    <t>Storia delle Politiche Educative e dei Processi Formativi</t>
  </si>
  <si>
    <t>Storia delle Politiche Educative e Storia dei Processi Formativi</t>
  </si>
  <si>
    <t>Storia dell'Educazione</t>
  </si>
  <si>
    <t>Storia dell'Educazione (Avanzato)</t>
  </si>
  <si>
    <t/>
  </si>
  <si>
    <t>Psicologia</t>
  </si>
  <si>
    <t>Psicologia del Ciclo di Vita</t>
  </si>
  <si>
    <t>Psicologia del'Educazione</t>
  </si>
  <si>
    <t>Psicologia dell'Educazione 1</t>
  </si>
  <si>
    <t>Psicologia dell'Età Evolutiva</t>
  </si>
  <si>
    <t>Psicologia dello Sviluppo</t>
  </si>
  <si>
    <t>Psicologia dello Sviluppo I sem</t>
  </si>
  <si>
    <t>Psicologia dello Sviluppo II sem</t>
  </si>
  <si>
    <t>Psicologia Generale</t>
  </si>
  <si>
    <t>Psicologia Generale 1</t>
  </si>
  <si>
    <t>Psicologia Generale e della Percezione</t>
  </si>
  <si>
    <t>Psicologia Sociale</t>
  </si>
  <si>
    <t>Antropologia</t>
  </si>
  <si>
    <t>Antropologia Culturale</t>
  </si>
  <si>
    <t>Antropologia Culturale (avanzato)</t>
  </si>
  <si>
    <t>Antropologia Culturale 1</t>
  </si>
  <si>
    <t>Antropologia Culturale 2</t>
  </si>
  <si>
    <t>Antropologia Culturale e Antropologia Sociale</t>
  </si>
  <si>
    <t>Antropologia Culturale e Etnologia</t>
  </si>
  <si>
    <t>Antropologia Generale</t>
  </si>
  <si>
    <t>Antropologia Sociale</t>
  </si>
  <si>
    <t>Antropologia Sociale (Avanzato)</t>
  </si>
  <si>
    <t>Antropologia Sociale e Antropologia Culturale</t>
  </si>
  <si>
    <t>Discipline Demoetno-antropologiche</t>
  </si>
  <si>
    <t>Etnologia</t>
  </si>
  <si>
    <t>Didattica della Geografia</t>
  </si>
  <si>
    <t>Didattica e Ricerca Educativa (corso integrato)
Mod. 1: Elementi di Didattica MPED03 
Mod. 2: Elementi di Progettazione, Valutazione e Ricerca Educativa MPED04</t>
  </si>
  <si>
    <t>Didattica Generale</t>
  </si>
  <si>
    <t>Elementi di Metodologia della Ricerca Educativa</t>
  </si>
  <si>
    <t>Glottodidattica</t>
  </si>
  <si>
    <t>Glottodidattica 1</t>
  </si>
  <si>
    <t>Modeli di Progettazione e Valutazione dell'Azione Didattica</t>
  </si>
  <si>
    <t>Modeli di Valutazione dei Servizi Formativi</t>
  </si>
  <si>
    <t>Modeli di Valutazione di Servizi Educativi</t>
  </si>
  <si>
    <t>Tecnologia dell'Istruzione e dell'Apprendimento</t>
  </si>
  <si>
    <t>Tecnologia per l'Istruzione e la Ricerca Educativa</t>
  </si>
  <si>
    <t>Tecnologie dell'Istruzione e dell'Apprendimento</t>
  </si>
  <si>
    <t>Email</t>
  </si>
  <si>
    <t>Tel</t>
  </si>
  <si>
    <t>Pedagogia Speciale</t>
  </si>
  <si>
    <t>Controllo su ultimo esame conseguito a Sassari se si chiede il riconoscimento di tutti i 24 CFU</t>
  </si>
  <si>
    <t>Verifiche  24 CFU</t>
  </si>
  <si>
    <t>Controllo su completamento di almeno 3 ambiti su 4 (solo per richieste con 24 CFU)</t>
  </si>
  <si>
    <t>Verifica compilazione di almeno 3 ambiti  (solo per richieste con 24 CFU)</t>
  </si>
  <si>
    <t>Voto (18-30 o "30 e Lode")</t>
  </si>
  <si>
    <t>DIDATTICA GENERALE CON ELEMENTI DI DIDATTICA DELL’INCLUSIONE</t>
  </si>
  <si>
    <t>PSICOLOGIA DELLO SVILUPPO E DELL’APPRENDIMENTO</t>
  </si>
  <si>
    <t>TEORIA E METODI DI PROGETTAZIONE E VALUTAZIONE DIDATTICA</t>
  </si>
  <si>
    <t xml:space="preserve">Domanda di riconoscimento di CFU pregressi, già conseguiti alla data di scadenza per la presentazione dell' istanza, al fine del rilascio della dichiarazione di cui all’art. 3, comma 7 del D.M. 616/2017 (24 CFU) </t>
  </si>
  <si>
    <t xml:space="preserve">Modello riservato ai  candidati che abbiano già conseguito nel loro intero percorso formativo pregresso, 
tutti o parte dei 24 CFU stabiliti dal DM 616/2017 </t>
  </si>
  <si>
    <t>di aver conseguito   i seguenti titoli di studio (indicare la denominazione della Laurea, o del Master, o del Dottorato o di Corsi Singoli, o PF24 edizione 2017/18) e di non essere attualmente iscritto al PF24 in altro Ateneo (per PF24 si intende il percorso finalizzato all'ottenimento della certificazione '24 CFU' ai sensi del DM 616/2017).</t>
  </si>
  <si>
    <r>
      <t xml:space="preserve">Tipo Titolo di Studi 
</t>
    </r>
    <r>
      <rPr>
        <b/>
        <sz val="12"/>
        <color rgb="FF00B050"/>
        <rFont val="Calibri"/>
        <family val="2"/>
        <scheme val="minor"/>
      </rPr>
      <t>(se il titolo di studi non è stato  conseguito,</t>
    </r>
    <r>
      <rPr>
        <b/>
        <u/>
        <sz val="12"/>
        <color rgb="FF00B050"/>
        <rFont val="Calibri"/>
        <family val="2"/>
        <scheme val="minor"/>
      </rPr>
      <t xml:space="preserve"> in fondo alla riga</t>
    </r>
    <r>
      <rPr>
        <b/>
        <sz val="12"/>
        <color rgb="FF00B050"/>
        <rFont val="Calibri"/>
        <family val="2"/>
        <scheme val="minor"/>
      </rPr>
      <t xml:space="preserve"> si deve indicare </t>
    </r>
    <r>
      <rPr>
        <b/>
        <u/>
        <sz val="12"/>
        <color rgb="FF00B050"/>
        <rFont val="Calibri"/>
        <family val="2"/>
        <scheme val="minor"/>
      </rPr>
      <t>la data di conseguimento dell'ultimo degli esami sostenuti</t>
    </r>
    <r>
      <rPr>
        <b/>
        <sz val="12"/>
        <color rgb="FF00B050"/>
        <rFont val="Calibri"/>
        <family val="2"/>
        <scheme val="minor"/>
      </rPr>
      <t xml:space="preserve"> indicati nella presente istanza, relativi a questo ciclo di studi)</t>
    </r>
  </si>
  <si>
    <t>Inserire esami per NON OLTRE 24 CFU. Se gli esami inseriti sono pari a 24 CFU allora devono essere distribuiti  in  ALMENO 3 Ambiti su 4 (controllare i messaggi di verifica generale,  posizionati in basso dopo l'Ambito D nel foglio della Dichiarazione Esami)</t>
  </si>
  <si>
    <t>Eventuali note personali possono essere inserite negli appositi spazi assegnati ad ogni Esame.  Ad es.: se l'esame sostenuto era originariamente caratterizzato da un numero superiore di CFU o Durata di cui si chiede il riconoscimento, etc.</t>
  </si>
  <si>
    <t>Salvare il file e caricarlo come allegato per l'iscrizione al Concorso "Ammissione percorso Formativo 24 CFU" (seguire la procedura on line, attraverso il portale Self-Studenti).</t>
  </si>
  <si>
    <t>Letteratura per l'Infanzia</t>
  </si>
  <si>
    <t>Progettazione, Valutazione e Ricerca Educativa</t>
  </si>
  <si>
    <t>PF24 (edizioni precedenti)</t>
  </si>
  <si>
    <t>Laboratorio di didattica della letteratura italiana</t>
  </si>
  <si>
    <t>L-FIL-LET/10</t>
  </si>
  <si>
    <t>Psicopedagogia Culturale</t>
  </si>
  <si>
    <t>Didattica Generale - I Sem.</t>
  </si>
  <si>
    <t>Didattica Generale - II Sem.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</si>
</sst>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84">
    <font>
      <sz val="11"/>
      <color theme="1"/>
      <name val="Calibri"/>
      <family val="2"/>
      <scheme val="minor"/>
    </font>
    <font>
      <b/>
      <sz val="11"/>
      <color rgb="FFFF0000"/>
      <name val="Calibri"/>
      <family val="2"/>
      <scheme val="minor"/>
    </font>
    <font>
      <sz val="10"/>
      <color theme="1"/>
      <name val="Arial Unicode MS"/>
      <family val="2"/>
    </font>
    <font>
      <i/>
      <sz val="10"/>
      <color theme="1"/>
      <name val="Arial Unicode MS"/>
      <family val="2"/>
    </font>
    <font>
      <b/>
      <sz val="11"/>
      <color theme="1"/>
      <name val="Calibri"/>
      <family val="2"/>
      <scheme val="minor"/>
    </font>
    <font>
      <b/>
      <sz val="9"/>
      <color theme="1"/>
      <name val="Verdana"/>
      <family val="2"/>
    </font>
    <font>
      <sz val="9"/>
      <color theme="1"/>
      <name val="Verdana"/>
      <family val="2"/>
    </font>
    <font>
      <sz val="5"/>
      <color theme="1"/>
      <name val="Verdana"/>
      <family val="2"/>
    </font>
    <font>
      <b/>
      <sz val="1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b/>
      <sz val="16"/>
      <color rgb="FF00B050"/>
      <name val="Calibri"/>
      <family val="2"/>
      <scheme val="minor"/>
    </font>
    <font>
      <sz val="12"/>
      <color theme="1"/>
      <name val="Calibri"/>
      <family val="2"/>
      <scheme val="minor"/>
    </font>
    <font>
      <b/>
      <sz val="12"/>
      <color rgb="FFFF0000"/>
      <name val="Calibri"/>
      <family val="2"/>
      <scheme val="minor"/>
    </font>
    <font>
      <b/>
      <sz val="11"/>
      <color theme="1"/>
      <name val="Verdana"/>
      <family val="2"/>
    </font>
    <font>
      <b/>
      <sz val="12"/>
      <color theme="1"/>
      <name val="Verdana"/>
      <family val="2"/>
    </font>
    <font>
      <sz val="16"/>
      <color theme="1"/>
      <name val="Calibri"/>
      <family val="2"/>
      <scheme val="minor"/>
    </font>
    <font>
      <b/>
      <sz val="14"/>
      <color rgb="FFFF0000"/>
      <name val="Calibri"/>
      <family val="2"/>
      <scheme val="minor"/>
    </font>
    <font>
      <b/>
      <sz val="14"/>
      <color theme="0"/>
      <name val="Calibri"/>
      <family val="2"/>
      <scheme val="minor"/>
    </font>
    <font>
      <b/>
      <sz val="11"/>
      <color rgb="FF00B050"/>
      <name val="Verdana"/>
      <family val="2"/>
    </font>
    <font>
      <sz val="11"/>
      <color rgb="FF00B050"/>
      <name val="Calibri"/>
      <family val="2"/>
      <scheme val="minor"/>
    </font>
    <font>
      <sz val="11"/>
      <color theme="0"/>
      <name val="Calibri"/>
      <family val="2"/>
      <scheme val="minor"/>
    </font>
    <font>
      <sz val="14"/>
      <color theme="1"/>
      <name val="Calibri"/>
      <family val="2"/>
      <scheme val="minor"/>
    </font>
    <font>
      <b/>
      <sz val="16"/>
      <color rgb="FFFF0000"/>
      <name val="Calibri"/>
      <family val="2"/>
      <scheme val="minor"/>
    </font>
    <font>
      <sz val="11"/>
      <color rgb="FFFF0000"/>
      <name val="Calibri"/>
      <family val="2"/>
      <scheme val="minor"/>
    </font>
    <font>
      <b/>
      <sz val="18"/>
      <color theme="1"/>
      <name val="Calibri"/>
      <family val="2"/>
      <scheme val="minor"/>
    </font>
    <font>
      <b/>
      <sz val="15"/>
      <color theme="1"/>
      <name val="Calibri"/>
      <family val="2"/>
      <scheme val="minor"/>
    </font>
    <font>
      <b/>
      <sz val="18"/>
      <color rgb="FFFF0000"/>
      <name val="Calibri"/>
      <family val="2"/>
      <scheme val="minor"/>
    </font>
    <font>
      <b/>
      <sz val="13"/>
      <color rgb="FFFF0000"/>
      <name val="Calibri"/>
      <family val="2"/>
      <scheme val="minor"/>
    </font>
    <font>
      <b/>
      <i/>
      <sz val="16"/>
      <color theme="1"/>
      <name val="Calibri"/>
      <family val="2"/>
      <scheme val="minor"/>
    </font>
    <font>
      <b/>
      <sz val="11"/>
      <color rgb="FF00B050"/>
      <name val="Calibri"/>
      <family val="2"/>
      <scheme val="minor"/>
    </font>
    <font>
      <i/>
      <sz val="11"/>
      <color theme="1"/>
      <name val="Calibri"/>
      <family val="2"/>
      <scheme val="minor"/>
    </font>
    <font>
      <sz val="12"/>
      <name val="Calibri"/>
      <family val="2"/>
      <scheme val="minor"/>
    </font>
    <font>
      <sz val="11"/>
      <name val="Calibri"/>
      <family val="2"/>
      <scheme val="minor"/>
    </font>
    <font>
      <sz val="16"/>
      <name val="Calibri"/>
      <family val="2"/>
      <scheme val="minor"/>
    </font>
    <font>
      <sz val="14"/>
      <name val="Calibri"/>
      <family val="2"/>
      <scheme val="minor"/>
    </font>
    <font>
      <b/>
      <sz val="14"/>
      <name val="Calibri"/>
      <family val="2"/>
      <scheme val="minor"/>
    </font>
    <font>
      <sz val="12"/>
      <color theme="0"/>
      <name val="Calibri"/>
      <family val="2"/>
      <scheme val="minor"/>
    </font>
    <font>
      <sz val="16"/>
      <color theme="0"/>
      <name val="Calibri"/>
      <family val="2"/>
      <scheme val="minor"/>
    </font>
    <font>
      <sz val="14"/>
      <color theme="0"/>
      <name val="Calibri"/>
      <family val="2"/>
      <scheme val="minor"/>
    </font>
    <font>
      <b/>
      <sz val="12"/>
      <color theme="0"/>
      <name val="Calibri"/>
      <family val="2"/>
      <scheme val="minor"/>
    </font>
    <font>
      <b/>
      <sz val="16"/>
      <name val="Calibri"/>
      <family val="2"/>
      <scheme val="minor"/>
    </font>
    <font>
      <b/>
      <sz val="18"/>
      <color rgb="FF009644"/>
      <name val="Calibri"/>
      <family val="2"/>
      <scheme val="minor"/>
    </font>
    <font>
      <sz val="11"/>
      <color rgb="FF009644"/>
      <name val="Calibri"/>
      <family val="2"/>
      <scheme val="minor"/>
    </font>
    <font>
      <b/>
      <sz val="9"/>
      <color rgb="FFFF0000"/>
      <name val="Verdana"/>
      <family val="2"/>
    </font>
    <font>
      <sz val="16"/>
      <color theme="1"/>
      <name val="Verdana"/>
      <family val="2"/>
    </font>
    <font>
      <sz val="11"/>
      <color rgb="FF00B050"/>
      <name val="Verdana"/>
      <family val="2"/>
    </font>
    <font>
      <sz val="11"/>
      <name val="Verdana"/>
      <family val="2"/>
    </font>
    <font>
      <b/>
      <sz val="11"/>
      <name val="Verdana"/>
      <family val="2"/>
    </font>
    <font>
      <b/>
      <u/>
      <sz val="18"/>
      <color rgb="FF009644"/>
      <name val="Calibri"/>
      <family val="2"/>
      <scheme val="minor"/>
    </font>
    <font>
      <sz val="20"/>
      <color theme="0"/>
      <name val="Calibri"/>
      <family val="2"/>
      <scheme val="minor"/>
    </font>
    <font>
      <b/>
      <sz val="20"/>
      <color rgb="FF7030A0"/>
      <name val="Calibri"/>
      <family val="2"/>
      <scheme val="minor"/>
    </font>
    <font>
      <sz val="20"/>
      <color rgb="FF7030A0"/>
      <name val="Calibri"/>
      <family val="2"/>
      <scheme val="minor"/>
    </font>
    <font>
      <b/>
      <sz val="22"/>
      <color theme="1"/>
      <name val="Calibri"/>
      <family val="2"/>
      <scheme val="minor"/>
    </font>
    <font>
      <sz val="16"/>
      <color rgb="FFFF0000"/>
      <name val="Calibri"/>
      <family val="2"/>
      <scheme val="minor"/>
    </font>
    <font>
      <sz val="12"/>
      <color rgb="FF009644"/>
      <name val="Calibri"/>
      <family val="2"/>
      <scheme val="minor"/>
    </font>
    <font>
      <sz val="16"/>
      <color rgb="FF009644"/>
      <name val="Calibri"/>
      <family val="2"/>
      <scheme val="minor"/>
    </font>
    <font>
      <sz val="14"/>
      <color rgb="FF009644"/>
      <name val="Calibri"/>
      <family val="2"/>
      <scheme val="minor"/>
    </font>
    <font>
      <sz val="20"/>
      <color rgb="FF009644"/>
      <name val="Calibri"/>
      <family val="2"/>
      <scheme val="minor"/>
    </font>
    <font>
      <b/>
      <sz val="14"/>
      <color rgb="FF009644"/>
      <name val="Calibri"/>
      <family val="2"/>
      <scheme val="minor"/>
    </font>
    <font>
      <b/>
      <sz val="11"/>
      <color rgb="FF009644"/>
      <name val="Calibri"/>
      <family val="2"/>
      <scheme val="minor"/>
    </font>
    <font>
      <b/>
      <sz val="12"/>
      <color rgb="FF009644"/>
      <name val="Calibri"/>
      <family val="2"/>
      <scheme val="minor"/>
    </font>
    <font>
      <b/>
      <sz val="10"/>
      <color theme="1"/>
      <name val="Verdana"/>
      <family val="2"/>
    </font>
    <font>
      <b/>
      <sz val="12"/>
      <color rgb="FF00B050"/>
      <name val="Calibri"/>
      <family val="2"/>
      <scheme val="minor"/>
    </font>
    <font>
      <b/>
      <u/>
      <sz val="12"/>
      <color rgb="FF00B050"/>
      <name val="Calibri"/>
      <family val="2"/>
      <scheme val="minor"/>
    </font>
    <font>
      <b/>
      <sz val="16"/>
      <color rgb="FF009644"/>
      <name val="Calibri"/>
      <family val="2"/>
      <scheme val="minor"/>
    </font>
    <font>
      <b/>
      <i/>
      <sz val="14"/>
      <color theme="1"/>
      <name val="Calibri"/>
      <family val="2"/>
      <scheme val="minor"/>
    </font>
    <font>
      <sz val="14"/>
      <color rgb="FFFF0000"/>
      <name val="Calibri"/>
      <family val="2"/>
      <scheme val="minor"/>
    </font>
    <font>
      <b/>
      <u/>
      <sz val="16"/>
      <color rgb="FF009644"/>
      <name val="Calibri"/>
      <family val="2"/>
      <scheme val="minor"/>
    </font>
    <font>
      <b/>
      <sz val="16"/>
      <color rgb="FF009644"/>
      <name val="Times New Roman"/>
      <family val="1"/>
    </font>
    <font>
      <u/>
      <sz val="11"/>
      <color theme="10"/>
      <name val="Calibri"/>
      <family val="2"/>
      <scheme val="minor"/>
    </font>
    <font>
      <b/>
      <sz val="11"/>
      <color indexed="8"/>
      <name val="Calibri"/>
      <family val="2"/>
      <scheme val="minor"/>
    </font>
    <font>
      <b/>
      <sz val="11"/>
      <color theme="0"/>
      <name val="Calibri"/>
      <family val="2"/>
      <scheme val="minor"/>
    </font>
    <font>
      <sz val="11"/>
      <color theme="1"/>
      <name val="Calibri"/>
      <family val="2"/>
      <scheme val="minor"/>
    </font>
    <font>
      <b/>
      <i/>
      <sz val="16"/>
      <color rgb="FFFF0000"/>
      <name val="Calibri"/>
      <family val="2"/>
      <scheme val="minor"/>
    </font>
    <font>
      <b/>
      <sz val="16"/>
      <color theme="0"/>
      <name val="Calibri"/>
      <family val="2"/>
      <scheme val="minor"/>
    </font>
    <font>
      <sz val="9"/>
      <color theme="1"/>
      <name val="Calibri"/>
      <family val="2"/>
      <scheme val="minor"/>
    </font>
    <font>
      <b/>
      <i/>
      <sz val="16"/>
      <color theme="0"/>
      <name val="Calibri"/>
      <family val="2"/>
      <scheme val="minor"/>
    </font>
    <font>
      <b/>
      <sz val="15"/>
      <color theme="0"/>
      <name val="Calibri"/>
      <family val="2"/>
      <scheme val="minor"/>
    </font>
    <font>
      <b/>
      <sz val="12"/>
      <name val="Calibri"/>
      <family val="2"/>
      <scheme val="minor"/>
    </font>
    <font>
      <b/>
      <i/>
      <sz val="12"/>
      <color theme="1"/>
      <name val="Calibri"/>
      <family val="2"/>
      <scheme val="minor"/>
    </font>
    <font>
      <sz val="18"/>
      <color theme="1"/>
      <name val="Calibri"/>
      <family val="2"/>
      <scheme val="minor"/>
    </font>
    <font>
      <b/>
      <sz val="14"/>
      <color rgb="FF00B050"/>
      <name val="Calibri"/>
      <family val="2"/>
      <scheme val="minor"/>
    </font>
  </fonts>
  <fills count="12">
    <fill>
      <patternFill patternType="none"/>
    </fill>
    <fill>
      <patternFill patternType="gray125"/>
    </fill>
    <fill>
      <patternFill patternType="solid">
        <fgColor rgb="FFFFFFCC"/>
        <bgColor indexed="64"/>
      </patternFill>
    </fill>
    <fill>
      <patternFill patternType="solid">
        <fgColor rgb="FFFFFF85"/>
        <bgColor indexed="64"/>
      </patternFill>
    </fill>
    <fill>
      <patternFill patternType="solid">
        <fgColor rgb="FFFFCCFF"/>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theme="6" tint="0.39997558519241921"/>
        <bgColor indexed="64"/>
      </patternFill>
    </fill>
    <fill>
      <patternFill patternType="solid">
        <fgColor rgb="FFFFFF66"/>
        <bgColor indexed="64"/>
      </patternFill>
    </fill>
    <fill>
      <patternFill patternType="solid">
        <fgColor rgb="FFCAE8AA"/>
        <bgColor indexed="64"/>
      </patternFill>
    </fill>
  </fills>
  <borders count="7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style="dotted">
        <color auto="1"/>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
      <left style="dotted">
        <color auto="1"/>
      </left>
      <right style="dotted">
        <color auto="1"/>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diagonal/>
    </border>
    <border>
      <left style="dashed">
        <color auto="1"/>
      </left>
      <right/>
      <top/>
      <bottom style="dashed">
        <color auto="1"/>
      </bottom>
      <diagonal/>
    </border>
    <border>
      <left/>
      <right style="dashed">
        <color auto="1"/>
      </right>
      <top/>
      <bottom style="dashed">
        <color auto="1"/>
      </bottom>
      <diagonal/>
    </border>
    <border>
      <left style="dashed">
        <color auto="1"/>
      </left>
      <right/>
      <top style="dashed">
        <color auto="1"/>
      </top>
      <bottom style="dashed">
        <color auto="1"/>
      </bottom>
      <diagonal/>
    </border>
    <border>
      <left/>
      <right style="dashed">
        <color auto="1"/>
      </right>
      <top style="dashed">
        <color auto="1"/>
      </top>
      <bottom style="dashed">
        <color auto="1"/>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dashed">
        <color auto="1"/>
      </top>
      <bottom style="double">
        <color auto="1"/>
      </bottom>
      <diagonal/>
    </border>
    <border>
      <left style="dashed">
        <color auto="1"/>
      </left>
      <right/>
      <top style="dashed">
        <color auto="1"/>
      </top>
      <bottom style="double">
        <color auto="1"/>
      </bottom>
      <diagonal/>
    </border>
    <border>
      <left/>
      <right style="dashed">
        <color auto="1"/>
      </right>
      <top style="dashed">
        <color auto="1"/>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style="dashed">
        <color auto="1"/>
      </right>
      <top style="double">
        <color auto="1"/>
      </top>
      <bottom style="double">
        <color auto="1"/>
      </bottom>
      <diagonal/>
    </border>
    <border>
      <left style="dashed">
        <color auto="1"/>
      </left>
      <right style="dashed">
        <color auto="1"/>
      </right>
      <top style="double">
        <color auto="1"/>
      </top>
      <bottom style="double">
        <color auto="1"/>
      </bottom>
      <diagonal/>
    </border>
    <border>
      <left style="dashed">
        <color auto="1"/>
      </left>
      <right style="double">
        <color auto="1"/>
      </right>
      <top style="double">
        <color auto="1"/>
      </top>
      <bottom style="double">
        <color auto="1"/>
      </bottom>
      <diagonal/>
    </border>
    <border>
      <left/>
      <right style="double">
        <color auto="1"/>
      </right>
      <top style="dashed">
        <color auto="1"/>
      </top>
      <bottom style="dashed">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double">
        <color auto="1"/>
      </left>
      <right/>
      <top/>
      <bottom style="dashed">
        <color auto="1"/>
      </bottom>
      <diagonal/>
    </border>
    <border>
      <left style="double">
        <color auto="1"/>
      </left>
      <right/>
      <top/>
      <bottom style="double">
        <color auto="1"/>
      </bottom>
      <diagonal/>
    </border>
    <border>
      <left style="dashed">
        <color auto="1"/>
      </left>
      <right/>
      <top/>
      <bottom style="double">
        <color auto="1"/>
      </bottom>
      <diagonal/>
    </border>
    <border>
      <left/>
      <right style="dashed">
        <color auto="1"/>
      </right>
      <top/>
      <bottom style="double">
        <color auto="1"/>
      </bottom>
      <diagonal/>
    </border>
    <border>
      <left/>
      <right style="double">
        <color auto="1"/>
      </right>
      <top/>
      <bottom style="dashed">
        <color auto="1"/>
      </bottom>
      <diagonal/>
    </border>
    <border>
      <left/>
      <right style="double">
        <color auto="1"/>
      </right>
      <top style="dashed">
        <color auto="1"/>
      </top>
      <bottom/>
      <diagonal/>
    </border>
    <border>
      <left style="dotted">
        <color auto="1"/>
      </left>
      <right/>
      <top/>
      <bottom/>
      <diagonal/>
    </border>
    <border>
      <left style="dashed">
        <color auto="1"/>
      </left>
      <right/>
      <top style="double">
        <color auto="1"/>
      </top>
      <bottom style="dashed">
        <color auto="1"/>
      </bottom>
      <diagonal/>
    </border>
    <border>
      <left/>
      <right style="dashed">
        <color auto="1"/>
      </right>
      <top style="double">
        <color auto="1"/>
      </top>
      <bottom style="dashed">
        <color auto="1"/>
      </bottom>
      <diagonal/>
    </border>
    <border>
      <left style="mediumDashed">
        <color auto="1"/>
      </left>
      <right/>
      <top style="mediumDashed">
        <color auto="1"/>
      </top>
      <bottom style="mediumDashed">
        <color auto="1"/>
      </bottom>
      <diagonal/>
    </border>
    <border>
      <left/>
      <right style="mediumDashed">
        <color auto="1"/>
      </right>
      <top style="mediumDashed">
        <color auto="1"/>
      </top>
      <bottom style="mediumDashed">
        <color auto="1"/>
      </bottom>
      <diagonal/>
    </border>
    <border>
      <left/>
      <right/>
      <top style="mediumDashed">
        <color auto="1"/>
      </top>
      <bottom style="mediumDashed">
        <color auto="1"/>
      </bottom>
      <diagonal/>
    </border>
    <border>
      <left/>
      <right/>
      <top style="double">
        <color auto="1"/>
      </top>
      <bottom style="double">
        <color auto="1"/>
      </bottom>
      <diagonal/>
    </border>
  </borders>
  <cellStyleXfs count="3">
    <xf numFmtId="0" fontId="0" fillId="0" borderId="0"/>
    <xf numFmtId="0" fontId="71" fillId="0" borderId="0" applyNumberFormat="0" applyFill="0" applyBorder="0" applyAlignment="0" applyProtection="0"/>
    <xf numFmtId="164" fontId="74" fillId="0" borderId="0" applyFont="0" applyFill="0" applyBorder="0" applyAlignment="0" applyProtection="0"/>
  </cellStyleXfs>
  <cellXfs count="537">
    <xf numFmtId="0" fontId="0" fillId="0" borderId="0" xfId="0"/>
    <xf numFmtId="0" fontId="1" fillId="0" borderId="0" xfId="0" applyFont="1"/>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3"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2" fillId="0" borderId="5" xfId="0" applyFont="1" applyFill="1" applyBorder="1" applyAlignment="1">
      <alignment horizontal="justify" vertical="center" wrapText="1"/>
    </xf>
    <xf numFmtId="0" fontId="0" fillId="0" borderId="0" xfId="0" applyProtection="1"/>
    <xf numFmtId="0" fontId="10" fillId="0" borderId="0" xfId="0" applyFont="1" applyProtection="1"/>
    <xf numFmtId="0" fontId="11" fillId="0" borderId="0" xfId="0" applyFont="1" applyProtection="1"/>
    <xf numFmtId="0" fontId="12" fillId="0" borderId="0" xfId="0" applyFont="1" applyProtection="1"/>
    <xf numFmtId="0" fontId="14" fillId="0" borderId="0" xfId="0" applyFont="1"/>
    <xf numFmtId="0" fontId="17" fillId="0" borderId="0" xfId="0" applyFont="1"/>
    <xf numFmtId="0" fontId="13" fillId="0" borderId="0" xfId="0" applyFont="1" applyProtection="1"/>
    <xf numFmtId="0" fontId="11" fillId="0" borderId="6" xfId="0" applyFont="1" applyBorder="1" applyProtection="1"/>
    <xf numFmtId="0" fontId="0" fillId="0" borderId="7" xfId="0" applyBorder="1" applyProtection="1"/>
    <xf numFmtId="0" fontId="0" fillId="0" borderId="8" xfId="0" applyBorder="1" applyProtection="1"/>
    <xf numFmtId="0" fontId="0" fillId="0" borderId="9" xfId="0" applyBorder="1" applyProtection="1"/>
    <xf numFmtId="0" fontId="0" fillId="0" borderId="0" xfId="0" applyBorder="1" applyProtection="1"/>
    <xf numFmtId="0" fontId="0" fillId="0" borderId="10" xfId="0" applyBorder="1" applyProtection="1"/>
    <xf numFmtId="0" fontId="0" fillId="0" borderId="11" xfId="0" applyBorder="1" applyProtection="1"/>
    <xf numFmtId="0" fontId="0" fillId="0" borderId="12" xfId="0" applyBorder="1" applyProtection="1"/>
    <xf numFmtId="0" fontId="18" fillId="0" borderId="0" xfId="0" applyFont="1" applyProtection="1"/>
    <xf numFmtId="0" fontId="19" fillId="0" borderId="0" xfId="0" applyFont="1" applyProtection="1"/>
    <xf numFmtId="0" fontId="0" fillId="0" borderId="12" xfId="0" applyBorder="1" applyAlignment="1" applyProtection="1"/>
    <xf numFmtId="0" fontId="0" fillId="0" borderId="0" xfId="0" applyAlignment="1">
      <alignment vertical="center"/>
    </xf>
    <xf numFmtId="0" fontId="23" fillId="0" borderId="0" xfId="0" applyFont="1" applyProtection="1"/>
    <xf numFmtId="0" fontId="1" fillId="0" borderId="0" xfId="0" applyFont="1" applyBorder="1" applyAlignment="1" applyProtection="1">
      <alignment horizontal="left" vertical="center"/>
    </xf>
    <xf numFmtId="0" fontId="24" fillId="0" borderId="12" xfId="0" applyFont="1" applyBorder="1" applyAlignment="1" applyProtection="1">
      <alignment horizontal="center" vertical="center"/>
    </xf>
    <xf numFmtId="0" fontId="24" fillId="0" borderId="0" xfId="0" applyFont="1" applyBorder="1" applyAlignment="1" applyProtection="1">
      <alignment horizontal="center" vertical="center"/>
    </xf>
    <xf numFmtId="0" fontId="30" fillId="0" borderId="0" xfId="0" applyFont="1" applyBorder="1" applyAlignment="1" applyProtection="1">
      <alignment horizontal="center" vertical="center" wrapText="1"/>
    </xf>
    <xf numFmtId="0" fontId="24" fillId="0" borderId="12" xfId="0" applyFont="1" applyBorder="1" applyAlignment="1" applyProtection="1"/>
    <xf numFmtId="0" fontId="1" fillId="0" borderId="12" xfId="0" applyFont="1" applyBorder="1" applyAlignment="1" applyProtection="1">
      <alignment horizontal="center" vertical="center" wrapText="1"/>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8" fillId="0" borderId="0" xfId="0" applyFont="1" applyFill="1" applyAlignment="1" applyProtection="1">
      <alignment horizontal="center" vertical="center"/>
    </xf>
    <xf numFmtId="0" fontId="29" fillId="0" borderId="0" xfId="0" applyFont="1" applyFill="1" applyProtection="1"/>
    <xf numFmtId="0" fontId="1" fillId="0" borderId="0" xfId="0" applyFont="1" applyFill="1" applyBorder="1" applyAlignment="1" applyProtection="1">
      <alignment horizontal="left" vertical="center"/>
    </xf>
    <xf numFmtId="0" fontId="0" fillId="0" borderId="10" xfId="0" applyFill="1" applyBorder="1" applyProtection="1"/>
    <xf numFmtId="0" fontId="0" fillId="0" borderId="0" xfId="0" applyAlignment="1">
      <alignment horizontal="center" vertical="center"/>
    </xf>
    <xf numFmtId="0" fontId="12" fillId="0" borderId="26" xfId="0" applyFont="1" applyBorder="1"/>
    <xf numFmtId="0" fontId="24" fillId="0" borderId="14" xfId="0" applyFont="1" applyFill="1" applyBorder="1"/>
    <xf numFmtId="0" fontId="9" fillId="0" borderId="14" xfId="0" applyFont="1" applyBorder="1" applyAlignment="1">
      <alignment horizontal="center" vertical="center"/>
    </xf>
    <xf numFmtId="0" fontId="0" fillId="0" borderId="14" xfId="0" applyBorder="1" applyAlignment="1">
      <alignment horizontal="left" vertical="center"/>
    </xf>
    <xf numFmtId="0" fontId="32" fillId="0" borderId="14" xfId="0" applyFont="1" applyBorder="1"/>
    <xf numFmtId="0" fontId="0" fillId="0" borderId="14" xfId="0" applyBorder="1"/>
    <xf numFmtId="0" fontId="1" fillId="0" borderId="14" xfId="0" applyFont="1" applyBorder="1"/>
    <xf numFmtId="0" fontId="31" fillId="0" borderId="14" xfId="0" applyFont="1" applyBorder="1" applyAlignment="1">
      <alignment horizontal="left" vertical="center"/>
    </xf>
    <xf numFmtId="0" fontId="1" fillId="0" borderId="14" xfId="0" applyFont="1" applyBorder="1" applyAlignment="1">
      <alignment horizontal="left" vertical="center"/>
    </xf>
    <xf numFmtId="0" fontId="25" fillId="0" borderId="14" xfId="0" applyFont="1" applyBorder="1" applyAlignment="1">
      <alignment horizontal="left" vertical="center"/>
    </xf>
    <xf numFmtId="0" fontId="32" fillId="0" borderId="28" xfId="0" applyFont="1" applyFill="1" applyBorder="1"/>
    <xf numFmtId="0" fontId="40" fillId="0" borderId="0" xfId="0" applyFont="1" applyFill="1" applyProtection="1"/>
    <xf numFmtId="0" fontId="38" fillId="0" borderId="0" xfId="0" applyFont="1" applyFill="1" applyProtection="1"/>
    <xf numFmtId="0" fontId="22" fillId="0" borderId="0" xfId="0" applyFont="1" applyFill="1" applyProtection="1"/>
    <xf numFmtId="0" fontId="41" fillId="0" borderId="0" xfId="0" applyFont="1" applyFill="1" applyAlignment="1" applyProtection="1">
      <alignment horizontal="center" vertical="center"/>
    </xf>
    <xf numFmtId="0" fontId="23" fillId="0" borderId="0" xfId="0" applyFont="1" applyAlignment="1" applyProtection="1">
      <alignment horizontal="center" vertical="center"/>
    </xf>
    <xf numFmtId="0" fontId="42" fillId="0" borderId="0" xfId="0" applyFont="1" applyProtection="1"/>
    <xf numFmtId="0" fontId="34" fillId="0" borderId="0" xfId="0" applyFont="1" applyProtection="1"/>
    <xf numFmtId="0" fontId="0" fillId="0" borderId="0" xfId="0" applyAlignment="1" applyProtection="1">
      <alignment horizontal="left" vertical="center"/>
    </xf>
    <xf numFmtId="0" fontId="0" fillId="0" borderId="0" xfId="0" applyAlignment="1" applyProtection="1">
      <alignment vertical="center"/>
    </xf>
    <xf numFmtId="0" fontId="0" fillId="0" borderId="0" xfId="0" applyFill="1" applyAlignment="1" applyProtection="1">
      <alignment vertical="center"/>
    </xf>
    <xf numFmtId="0" fontId="2" fillId="4" borderId="4" xfId="0" applyFont="1" applyFill="1" applyBorder="1" applyAlignment="1">
      <alignment horizontal="justify" vertical="center" wrapText="1"/>
    </xf>
    <xf numFmtId="0" fontId="2" fillId="4" borderId="3" xfId="0" applyFont="1" applyFill="1" applyBorder="1" applyAlignment="1">
      <alignment horizontal="justify" vertical="center" wrapText="1"/>
    </xf>
    <xf numFmtId="0" fontId="0" fillId="0" borderId="30" xfId="0" applyBorder="1" applyProtection="1"/>
    <xf numFmtId="0" fontId="0" fillId="0" borderId="31" xfId="0" applyBorder="1" applyProtection="1"/>
    <xf numFmtId="0" fontId="43" fillId="0" borderId="0" xfId="0" applyFont="1" applyAlignment="1" applyProtection="1">
      <alignment horizontal="left" vertical="center"/>
    </xf>
    <xf numFmtId="0" fontId="0" fillId="0" borderId="13" xfId="0" applyBorder="1" applyProtection="1"/>
    <xf numFmtId="0" fontId="27" fillId="2"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17" fillId="0" borderId="0" xfId="0" applyFont="1" applyAlignment="1" applyProtection="1">
      <alignment horizontal="right"/>
    </xf>
    <xf numFmtId="0" fontId="17" fillId="0" borderId="0" xfId="0" applyFont="1" applyProtection="1"/>
    <xf numFmtId="0" fontId="22" fillId="0" borderId="0" xfId="0" applyFont="1" applyFill="1" applyAlignment="1" applyProtection="1">
      <alignment horizontal="left" vertical="center"/>
    </xf>
    <xf numFmtId="0" fontId="22" fillId="0" borderId="0" xfId="0" applyFont="1" applyProtection="1"/>
    <xf numFmtId="0" fontId="28" fillId="0" borderId="30" xfId="0" applyFont="1" applyFill="1" applyBorder="1" applyAlignment="1" applyProtection="1">
      <alignment vertical="center"/>
    </xf>
    <xf numFmtId="0" fontId="0" fillId="0" borderId="0" xfId="0" applyBorder="1" applyAlignment="1" applyProtection="1"/>
    <xf numFmtId="14" fontId="4" fillId="3" borderId="0" xfId="0" applyNumberFormat="1" applyFont="1" applyFill="1" applyAlignment="1" applyProtection="1">
      <alignment horizontal="center" vertical="center"/>
      <protection locked="0"/>
    </xf>
    <xf numFmtId="0" fontId="26" fillId="2" borderId="0"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wrapText="1"/>
      <protection locked="0"/>
    </xf>
    <xf numFmtId="0" fontId="15" fillId="3" borderId="14" xfId="0" applyFont="1" applyFill="1" applyBorder="1" applyAlignment="1" applyProtection="1">
      <alignment horizontal="center" vertical="center" wrapText="1"/>
      <protection locked="0"/>
    </xf>
    <xf numFmtId="0" fontId="5" fillId="0" borderId="0" xfId="0" applyFont="1" applyAlignment="1" applyProtection="1">
      <alignment horizontal="justify" vertical="center"/>
    </xf>
    <xf numFmtId="0" fontId="17" fillId="0" borderId="0" xfId="0" applyFont="1" applyAlignment="1" applyProtection="1">
      <alignment horizontal="right" vertical="center"/>
    </xf>
    <xf numFmtId="0" fontId="0" fillId="0" borderId="0" xfId="0" applyFont="1" applyProtection="1"/>
    <xf numFmtId="0" fontId="0" fillId="0" borderId="0" xfId="0" applyFont="1" applyAlignment="1" applyProtection="1">
      <alignment horizontal="right"/>
    </xf>
    <xf numFmtId="0" fontId="13" fillId="0" borderId="22" xfId="0" applyFont="1" applyBorder="1" applyAlignment="1" applyProtection="1">
      <alignment horizontal="right"/>
    </xf>
    <xf numFmtId="0" fontId="17" fillId="0" borderId="0" xfId="0" applyFont="1" applyAlignment="1" applyProtection="1">
      <alignment horizontal="justify" vertical="center"/>
    </xf>
    <xf numFmtId="0" fontId="13" fillId="0" borderId="0" xfId="0" applyFont="1" applyBorder="1" applyAlignment="1" applyProtection="1">
      <alignment horizontal="right"/>
    </xf>
    <xf numFmtId="0" fontId="46" fillId="0" borderId="0" xfId="0" applyFont="1" applyAlignment="1" applyProtection="1">
      <alignment horizontal="justify" vertical="center"/>
    </xf>
    <xf numFmtId="0" fontId="0" fillId="0" borderId="0" xfId="0" applyAlignment="1" applyProtection="1">
      <alignment vertical="top"/>
    </xf>
    <xf numFmtId="0" fontId="13" fillId="0" borderId="0" xfId="0" applyFont="1" applyAlignment="1" applyProtection="1"/>
    <xf numFmtId="0" fontId="38" fillId="0" borderId="0" xfId="0" applyFont="1" applyFill="1" applyAlignment="1" applyProtection="1"/>
    <xf numFmtId="0" fontId="33" fillId="0" borderId="0" xfId="0" applyFont="1" applyAlignment="1" applyProtection="1"/>
    <xf numFmtId="0" fontId="33" fillId="0" borderId="0" xfId="0" applyFont="1" applyProtection="1"/>
    <xf numFmtId="0" fontId="17" fillId="0" borderId="0" xfId="0" applyFont="1" applyAlignment="1" applyProtection="1">
      <alignment vertical="top"/>
    </xf>
    <xf numFmtId="0" fontId="39" fillId="0" borderId="0" xfId="0" applyFont="1" applyFill="1" applyAlignment="1" applyProtection="1">
      <alignment vertical="top"/>
    </xf>
    <xf numFmtId="0" fontId="35" fillId="0" borderId="0" xfId="0" applyFont="1" applyAlignment="1" applyProtection="1">
      <alignment vertical="top"/>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36" fillId="0" borderId="0" xfId="0" applyFont="1" applyProtection="1"/>
    <xf numFmtId="0" fontId="34" fillId="0" borderId="0" xfId="0" applyFont="1" applyAlignment="1" applyProtection="1">
      <alignment horizontal="left" vertical="center"/>
    </xf>
    <xf numFmtId="0" fontId="9" fillId="2" borderId="0" xfId="0" applyFont="1" applyFill="1" applyBorder="1" applyAlignment="1" applyProtection="1">
      <alignment horizontal="center" vertical="center" wrapText="1"/>
      <protection locked="0"/>
    </xf>
    <xf numFmtId="0" fontId="10" fillId="0" borderId="9" xfId="0" applyFont="1" applyBorder="1" applyAlignment="1" applyProtection="1">
      <alignment vertical="center"/>
    </xf>
    <xf numFmtId="0" fontId="30" fillId="0" borderId="0" xfId="0" applyFont="1" applyBorder="1" applyAlignment="1" applyProtection="1">
      <alignment vertical="center"/>
    </xf>
    <xf numFmtId="0" fontId="10" fillId="0" borderId="0" xfId="0" applyFont="1" applyBorder="1" applyAlignment="1" applyProtection="1">
      <alignment vertical="center"/>
    </xf>
    <xf numFmtId="0" fontId="30" fillId="0" borderId="0" xfId="0" applyFont="1" applyBorder="1" applyAlignment="1" applyProtection="1">
      <alignment horizontal="center" vertical="center"/>
    </xf>
    <xf numFmtId="0" fontId="30" fillId="0" borderId="0" xfId="0" applyFont="1" applyBorder="1" applyAlignment="1" applyProtection="1">
      <alignment horizontal="left" vertical="center"/>
    </xf>
    <xf numFmtId="0" fontId="10" fillId="0" borderId="10" xfId="0" applyFont="1" applyBorder="1" applyAlignment="1" applyProtection="1">
      <alignment vertical="center"/>
    </xf>
    <xf numFmtId="0" fontId="10" fillId="0" borderId="0" xfId="0" applyFont="1" applyAlignment="1" applyProtection="1">
      <alignment vertical="center"/>
    </xf>
    <xf numFmtId="0" fontId="19" fillId="0" borderId="0" xfId="0" applyFont="1" applyFill="1" applyAlignment="1" applyProtection="1">
      <alignment vertical="center"/>
    </xf>
    <xf numFmtId="0" fontId="19" fillId="0" borderId="0" xfId="0" applyFont="1" applyAlignment="1" applyProtection="1">
      <alignment vertical="center"/>
    </xf>
    <xf numFmtId="0" fontId="37" fillId="0" borderId="0" xfId="0" applyFont="1" applyAlignment="1" applyProtection="1">
      <alignment vertical="center"/>
    </xf>
    <xf numFmtId="0" fontId="51" fillId="0" borderId="0" xfId="0" applyFont="1" applyFill="1" applyProtection="1"/>
    <xf numFmtId="0" fontId="52" fillId="0" borderId="0" xfId="0" applyFont="1" applyProtection="1"/>
    <xf numFmtId="0" fontId="53" fillId="0" borderId="0" xfId="0" applyFont="1" applyProtection="1"/>
    <xf numFmtId="0" fontId="53" fillId="0" borderId="0" xfId="0" applyFont="1" applyFill="1" applyProtection="1"/>
    <xf numFmtId="0" fontId="0" fillId="5" borderId="0" xfId="0" applyFill="1" applyAlignment="1">
      <alignment vertical="center"/>
    </xf>
    <xf numFmtId="0" fontId="9" fillId="2" borderId="0" xfId="0" applyFont="1" applyFill="1" applyBorder="1" applyAlignment="1" applyProtection="1">
      <alignment horizontal="left" vertical="center" wrapText="1"/>
      <protection locked="0"/>
    </xf>
    <xf numFmtId="0" fontId="24" fillId="0" borderId="0" xfId="0" applyFont="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42" fillId="0" borderId="9" xfId="0" applyFont="1" applyBorder="1" applyAlignment="1" applyProtection="1">
      <alignment horizontal="center" vertical="center"/>
    </xf>
    <xf numFmtId="0" fontId="14" fillId="0" borderId="0" xfId="0" applyFont="1" applyFill="1" applyAlignment="1" applyProtection="1">
      <alignment horizontal="center" vertical="center"/>
    </xf>
    <xf numFmtId="0" fontId="0" fillId="0" borderId="0" xfId="0" applyFill="1" applyAlignment="1" applyProtection="1">
      <alignment horizontal="left" vertical="center"/>
    </xf>
    <xf numFmtId="0" fontId="0" fillId="0" borderId="0" xfId="0" applyFill="1" applyProtection="1"/>
    <xf numFmtId="0" fontId="1" fillId="0" borderId="0" xfId="0" applyFont="1" applyFill="1" applyAlignment="1" applyProtection="1">
      <alignment vertical="center"/>
    </xf>
    <xf numFmtId="0" fontId="34" fillId="0" borderId="0" xfId="0" applyFont="1" applyFill="1" applyProtection="1"/>
    <xf numFmtId="0" fontId="56" fillId="0" borderId="0" xfId="0" applyFont="1" applyFill="1" applyAlignment="1" applyProtection="1">
      <alignment horizontal="center" vertical="center"/>
    </xf>
    <xf numFmtId="0" fontId="44"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0" fontId="58" fillId="0" borderId="0" xfId="0" applyFont="1" applyFill="1" applyAlignment="1" applyProtection="1">
      <alignment horizontal="center" vertical="center"/>
    </xf>
    <xf numFmtId="0" fontId="44" fillId="0" borderId="0" xfId="0" applyFont="1" applyFill="1" applyAlignment="1" applyProtection="1">
      <alignment horizontal="left" vertical="center"/>
    </xf>
    <xf numFmtId="0" fontId="59" fillId="0" borderId="0" xfId="0" applyFont="1" applyFill="1" applyProtection="1"/>
    <xf numFmtId="0" fontId="44" fillId="0" borderId="0" xfId="0" applyFont="1" applyFill="1" applyProtection="1"/>
    <xf numFmtId="0" fontId="60" fillId="0" borderId="0" xfId="0" applyFont="1" applyFill="1" applyAlignment="1" applyProtection="1">
      <alignment vertical="center"/>
    </xf>
    <xf numFmtId="0" fontId="61" fillId="0" borderId="0" xfId="0" applyFont="1" applyFill="1" applyAlignment="1" applyProtection="1">
      <alignment horizontal="center" vertical="center"/>
    </xf>
    <xf numFmtId="0" fontId="62" fillId="0" borderId="0" xfId="0" applyFont="1" applyFill="1" applyAlignment="1" applyProtection="1">
      <alignment horizontal="center" vertical="center"/>
    </xf>
    <xf numFmtId="0" fontId="13" fillId="0" borderId="0" xfId="0" applyFont="1" applyAlignment="1" applyProtection="1">
      <alignment horizontal="right"/>
    </xf>
    <xf numFmtId="0" fontId="0" fillId="0" borderId="0" xfId="0" applyAlignment="1" applyProtection="1"/>
    <xf numFmtId="0" fontId="22" fillId="0" borderId="0" xfId="0" applyFont="1" applyFill="1" applyAlignment="1" applyProtection="1"/>
    <xf numFmtId="0" fontId="0" fillId="0" borderId="0" xfId="0" applyAlignment="1">
      <alignment horizontal="left" vertical="center"/>
    </xf>
    <xf numFmtId="14" fontId="0" fillId="0" borderId="0" xfId="0" applyNumberFormat="1" applyProtection="1"/>
    <xf numFmtId="0" fontId="13" fillId="0" borderId="0" xfId="0" applyFont="1" applyAlignment="1" applyProtection="1">
      <alignment wrapText="1"/>
    </xf>
    <xf numFmtId="0" fontId="0" fillId="0" borderId="0" xfId="0" applyAlignment="1" applyProtection="1"/>
    <xf numFmtId="0" fontId="13" fillId="0" borderId="0" xfId="0" applyFont="1" applyAlignment="1" applyProtection="1"/>
    <xf numFmtId="0" fontId="7" fillId="0" borderId="0" xfId="0" applyFont="1" applyAlignment="1" applyProtection="1">
      <alignment vertical="center"/>
    </xf>
    <xf numFmtId="0" fontId="5" fillId="0" borderId="0" xfId="0" applyFont="1" applyAlignment="1" applyProtection="1">
      <alignment vertical="center"/>
    </xf>
    <xf numFmtId="0" fontId="0" fillId="0" borderId="0" xfId="0" applyAlignment="1" applyProtection="1">
      <alignment horizontal="left" vertical="center"/>
    </xf>
    <xf numFmtId="0" fontId="61" fillId="0" borderId="0" xfId="0" applyFont="1"/>
    <xf numFmtId="0" fontId="56" fillId="0" borderId="0" xfId="0" applyFont="1" applyAlignment="1" applyProtection="1"/>
    <xf numFmtId="0" fontId="56" fillId="0" borderId="0" xfId="0" applyFont="1" applyProtection="1"/>
    <xf numFmtId="0" fontId="44" fillId="0" borderId="0" xfId="0" applyFont="1" applyProtection="1"/>
    <xf numFmtId="0" fontId="57" fillId="0" borderId="0" xfId="0" applyFont="1" applyAlignment="1" applyProtection="1">
      <alignment vertical="top"/>
    </xf>
    <xf numFmtId="0" fontId="58" fillId="0" borderId="0" xfId="0" applyFont="1" applyProtection="1"/>
    <xf numFmtId="0" fontId="44" fillId="0" borderId="0" xfId="0" applyFont="1" applyAlignment="1" applyProtection="1">
      <alignment horizontal="left" vertical="center"/>
    </xf>
    <xf numFmtId="0" fontId="59" fillId="0" borderId="0" xfId="0" applyFont="1" applyFill="1" applyAlignment="1" applyProtection="1">
      <alignment horizontal="center" vertical="center"/>
    </xf>
    <xf numFmtId="0" fontId="60" fillId="0" borderId="0" xfId="0" applyFont="1" applyFill="1" applyAlignment="1" applyProtection="1">
      <alignment horizontal="center" vertical="center"/>
    </xf>
    <xf numFmtId="0" fontId="0" fillId="0" borderId="0" xfId="0" applyAlignment="1" applyProtection="1"/>
    <xf numFmtId="0" fontId="13" fillId="0" borderId="0" xfId="0" applyFont="1" applyAlignment="1" applyProtection="1"/>
    <xf numFmtId="0" fontId="0" fillId="0" borderId="0" xfId="0" applyAlignment="1" applyProtection="1">
      <alignment horizontal="center"/>
    </xf>
    <xf numFmtId="0" fontId="63" fillId="0" borderId="0" xfId="0" applyFont="1" applyAlignment="1" applyProtection="1">
      <alignment horizontal="center" vertical="center" wrapText="1"/>
    </xf>
    <xf numFmtId="0" fontId="9" fillId="0" borderId="0" xfId="0" applyFont="1" applyAlignment="1" applyProtection="1">
      <alignment horizontal="center" vertical="center" wrapText="1"/>
    </xf>
    <xf numFmtId="0" fontId="9" fillId="0" borderId="0" xfId="0" applyFont="1" applyProtection="1"/>
    <xf numFmtId="0" fontId="64" fillId="0" borderId="0" xfId="0" applyFont="1" applyProtection="1"/>
    <xf numFmtId="0" fontId="11" fillId="0" borderId="0" xfId="0" applyFont="1" applyAlignment="1" applyProtection="1">
      <alignment horizontal="left" vertical="center"/>
    </xf>
    <xf numFmtId="0" fontId="9" fillId="0" borderId="21" xfId="0" applyFont="1" applyBorder="1" applyAlignment="1" applyProtection="1">
      <alignment horizontal="left" vertical="center" wrapText="1"/>
    </xf>
    <xf numFmtId="0" fontId="13" fillId="0" borderId="0" xfId="0" applyFont="1" applyAlignment="1" applyProtection="1">
      <alignment horizontal="center"/>
    </xf>
    <xf numFmtId="0" fontId="9" fillId="0" borderId="0" xfId="0" applyFont="1" applyAlignment="1" applyProtection="1"/>
    <xf numFmtId="0" fontId="64" fillId="0" borderId="0" xfId="0" applyFont="1" applyAlignment="1" applyProtection="1"/>
    <xf numFmtId="0" fontId="9" fillId="2" borderId="19" xfId="0" applyFont="1" applyFill="1" applyBorder="1" applyAlignment="1" applyProtection="1">
      <alignment horizontal="left" vertical="top" wrapText="1"/>
      <protection locked="0"/>
    </xf>
    <xf numFmtId="14" fontId="9" fillId="2" borderId="18" xfId="0" applyNumberFormat="1"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wrapText="1"/>
      <protection locked="0"/>
    </xf>
    <xf numFmtId="0" fontId="9" fillId="0" borderId="0" xfId="0" applyFont="1" applyAlignment="1" applyProtection="1">
      <alignment horizontal="right" vertical="center"/>
    </xf>
    <xf numFmtId="0" fontId="14" fillId="0" borderId="0" xfId="0" applyFont="1" applyProtection="1"/>
    <xf numFmtId="0" fontId="14" fillId="0" borderId="0" xfId="0" applyFont="1" applyFill="1" applyProtection="1"/>
    <xf numFmtId="0" fontId="9" fillId="7" borderId="0" xfId="0" applyFont="1" applyFill="1" applyAlignment="1" applyProtection="1">
      <alignment horizontal="center" vertical="center"/>
    </xf>
    <xf numFmtId="0" fontId="9" fillId="7" borderId="19" xfId="0" applyFont="1" applyFill="1" applyBorder="1" applyAlignment="1" applyProtection="1">
      <alignment horizontal="left" vertical="center" wrapText="1"/>
      <protection locked="0"/>
    </xf>
    <xf numFmtId="0" fontId="9" fillId="7" borderId="20" xfId="0" applyFont="1" applyFill="1" applyBorder="1" applyAlignment="1" applyProtection="1">
      <alignment horizontal="left" vertical="center" wrapText="1"/>
      <protection locked="0"/>
    </xf>
    <xf numFmtId="0" fontId="9" fillId="7" borderId="19" xfId="0" applyFont="1" applyFill="1" applyBorder="1" applyAlignment="1" applyProtection="1">
      <alignment horizontal="left" vertical="top" wrapText="1"/>
      <protection locked="0"/>
    </xf>
    <xf numFmtId="0" fontId="9" fillId="7" borderId="0" xfId="0" applyFont="1" applyFill="1" applyAlignment="1" applyProtection="1">
      <alignment horizontal="right" vertical="center"/>
    </xf>
    <xf numFmtId="0" fontId="9" fillId="7" borderId="18" xfId="0" applyFont="1" applyFill="1" applyBorder="1" applyAlignment="1" applyProtection="1">
      <alignment horizontal="center" vertical="center" wrapText="1"/>
      <protection locked="0"/>
    </xf>
    <xf numFmtId="14" fontId="9" fillId="7" borderId="18" xfId="0" applyNumberFormat="1" applyFont="1" applyFill="1" applyBorder="1" applyAlignment="1" applyProtection="1">
      <alignment horizontal="center" vertical="center"/>
      <protection locked="0"/>
    </xf>
    <xf numFmtId="0" fontId="14" fillId="7" borderId="0" xfId="0" applyFont="1" applyFill="1" applyProtection="1"/>
    <xf numFmtId="0" fontId="0" fillId="7" borderId="0" xfId="0" applyFill="1" applyProtection="1"/>
    <xf numFmtId="0" fontId="22" fillId="7" borderId="0" xfId="0" applyFont="1" applyFill="1" applyProtection="1"/>
    <xf numFmtId="0" fontId="44" fillId="7" borderId="0" xfId="0" applyFont="1" applyFill="1" applyAlignment="1" applyProtection="1">
      <alignment horizontal="center" vertical="center"/>
    </xf>
    <xf numFmtId="0" fontId="44" fillId="7" borderId="0" xfId="0" applyFont="1" applyFill="1" applyProtection="1"/>
    <xf numFmtId="0" fontId="34" fillId="7" borderId="0" xfId="0" applyFont="1" applyFill="1" applyProtection="1"/>
    <xf numFmtId="0" fontId="9" fillId="2" borderId="18" xfId="0" applyFont="1" applyFill="1" applyBorder="1" applyAlignment="1" applyProtection="1">
      <alignment horizontal="center" vertical="center"/>
      <protection locked="0"/>
    </xf>
    <xf numFmtId="0" fontId="16" fillId="0" borderId="0" xfId="0" applyFont="1" applyAlignment="1" applyProtection="1">
      <alignment horizontal="center" vertical="center" wrapText="1"/>
    </xf>
    <xf numFmtId="0" fontId="24" fillId="0" borderId="0" xfId="0" applyFont="1" applyFill="1" applyBorder="1" applyAlignment="1" applyProtection="1">
      <alignment horizontal="left" vertical="center"/>
    </xf>
    <xf numFmtId="0" fontId="23" fillId="0" borderId="0" xfId="0" applyFont="1" applyBorder="1" applyProtection="1"/>
    <xf numFmtId="0" fontId="23" fillId="0" borderId="0" xfId="0" applyFont="1" applyBorder="1" applyAlignment="1" applyProtection="1"/>
    <xf numFmtId="0" fontId="18" fillId="0" borderId="0" xfId="0" applyFont="1" applyFill="1" applyBorder="1" applyAlignment="1" applyProtection="1">
      <alignment horizontal="center" vertical="center" wrapText="1"/>
    </xf>
    <xf numFmtId="0" fontId="17" fillId="0" borderId="0" xfId="0" applyFont="1" applyAlignment="1" applyProtection="1">
      <alignment horizontal="left" vertical="center"/>
    </xf>
    <xf numFmtId="0" fontId="17" fillId="0" borderId="0" xfId="0" applyFont="1" applyAlignment="1">
      <alignment wrapText="1"/>
    </xf>
    <xf numFmtId="0" fontId="17" fillId="0" borderId="0" xfId="0" applyFont="1" applyAlignment="1" applyProtection="1"/>
    <xf numFmtId="0" fontId="67" fillId="0" borderId="44" xfId="0" applyFont="1" applyBorder="1" applyAlignment="1" applyProtection="1">
      <alignment horizontal="left" vertical="center"/>
    </xf>
    <xf numFmtId="0" fontId="67" fillId="0" borderId="44" xfId="0" applyFont="1" applyBorder="1" applyAlignment="1" applyProtection="1">
      <alignment horizontal="left" vertical="center" wrapText="1"/>
    </xf>
    <xf numFmtId="0" fontId="23" fillId="0" borderId="45" xfId="0" applyFont="1" applyBorder="1" applyProtection="1"/>
    <xf numFmtId="0" fontId="30" fillId="0" borderId="46" xfId="0" applyFont="1" applyBorder="1" applyAlignment="1" applyProtection="1">
      <alignment horizontal="center" vertical="center"/>
    </xf>
    <xf numFmtId="0" fontId="0" fillId="0" borderId="49" xfId="0" applyBorder="1" applyAlignment="1" applyProtection="1"/>
    <xf numFmtId="0" fontId="0" fillId="0" borderId="49" xfId="0" applyBorder="1" applyProtection="1"/>
    <xf numFmtId="0" fontId="24" fillId="0" borderId="50" xfId="0" applyFont="1" applyFill="1" applyBorder="1" applyAlignment="1" applyProtection="1">
      <alignment horizontal="center" vertical="center"/>
    </xf>
    <xf numFmtId="0" fontId="67" fillId="0" borderId="38" xfId="0" applyFont="1" applyBorder="1" applyAlignment="1" applyProtection="1">
      <alignment horizontal="left" vertical="center" wrapText="1"/>
    </xf>
    <xf numFmtId="0" fontId="10" fillId="0" borderId="42" xfId="0" applyFont="1" applyBorder="1" applyAlignment="1" applyProtection="1">
      <alignment vertical="center"/>
    </xf>
    <xf numFmtId="0" fontId="10" fillId="0" borderId="43" xfId="0" applyFont="1" applyBorder="1" applyAlignment="1" applyProtection="1">
      <alignment vertical="center"/>
    </xf>
    <xf numFmtId="0" fontId="10" fillId="0" borderId="51" xfId="0" applyFont="1" applyBorder="1" applyAlignment="1" applyProtection="1">
      <alignment horizontal="center" vertical="center"/>
    </xf>
    <xf numFmtId="0" fontId="23" fillId="0" borderId="10" xfId="0" applyFont="1" applyBorder="1" applyProtection="1"/>
    <xf numFmtId="0" fontId="18" fillId="0" borderId="10" xfId="0" applyFont="1" applyFill="1" applyBorder="1" applyAlignment="1" applyProtection="1">
      <alignment horizontal="center" vertical="center"/>
    </xf>
    <xf numFmtId="0" fontId="24" fillId="0" borderId="10" xfId="0" applyFont="1" applyFill="1" applyBorder="1" applyAlignment="1" applyProtection="1">
      <alignment horizontal="center" vertical="center"/>
    </xf>
    <xf numFmtId="0" fontId="24" fillId="0" borderId="10" xfId="0" applyFont="1" applyFill="1" applyBorder="1" applyAlignment="1" applyProtection="1">
      <alignment horizontal="center" vertical="center" wrapText="1"/>
    </xf>
    <xf numFmtId="0" fontId="24" fillId="0" borderId="13" xfId="0" applyFont="1" applyBorder="1" applyAlignment="1" applyProtection="1">
      <alignment horizontal="center" vertical="center"/>
    </xf>
    <xf numFmtId="0" fontId="0" fillId="0" borderId="0" xfId="0" applyAlignment="1" applyProtection="1"/>
    <xf numFmtId="0" fontId="66" fillId="0" borderId="0" xfId="0" applyFont="1" applyAlignment="1" applyProtection="1">
      <alignment horizontal="left" vertical="center" wrapText="1"/>
    </xf>
    <xf numFmtId="0" fontId="17" fillId="0" borderId="0" xfId="0" applyFont="1" applyAlignment="1">
      <alignment horizontal="left" vertical="center" wrapText="1"/>
    </xf>
    <xf numFmtId="0" fontId="0" fillId="0" borderId="0" xfId="0" applyAlignment="1">
      <alignment horizontal="left" vertical="center" wrapText="1"/>
    </xf>
    <xf numFmtId="0" fontId="0" fillId="0" borderId="0" xfId="0" quotePrefix="1" applyProtection="1"/>
    <xf numFmtId="0" fontId="72" fillId="8" borderId="55"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17" fillId="2" borderId="0" xfId="0" applyFont="1" applyFill="1" applyAlignment="1">
      <alignment horizontal="left" vertical="center"/>
    </xf>
    <xf numFmtId="0" fontId="17" fillId="2" borderId="0" xfId="0" applyFont="1" applyFill="1" applyAlignment="1">
      <alignment horizontal="left" vertical="center" wrapText="1"/>
    </xf>
    <xf numFmtId="0" fontId="0" fillId="0" borderId="0" xfId="0" applyAlignment="1" applyProtection="1"/>
    <xf numFmtId="0" fontId="0" fillId="0" borderId="0" xfId="0" applyBorder="1" applyAlignment="1" applyProtection="1"/>
    <xf numFmtId="0" fontId="24" fillId="0" borderId="10" xfId="0" applyFont="1" applyBorder="1" applyAlignment="1" applyProtection="1">
      <alignment horizontal="center" vertical="center"/>
    </xf>
    <xf numFmtId="0" fontId="38" fillId="0" borderId="0" xfId="0" applyFont="1" applyFill="1" applyAlignment="1" applyProtection="1">
      <alignment horizontal="center" vertical="center"/>
    </xf>
    <xf numFmtId="0" fontId="38" fillId="0" borderId="0" xfId="0" applyFont="1" applyAlignment="1" applyProtection="1"/>
    <xf numFmtId="0" fontId="22" fillId="0" borderId="0" xfId="0" applyFont="1" applyFill="1" applyAlignment="1" applyProtection="1">
      <alignment horizontal="center" vertical="center"/>
    </xf>
    <xf numFmtId="0" fontId="22" fillId="0" borderId="0" xfId="0" applyFont="1" applyAlignment="1" applyProtection="1"/>
    <xf numFmtId="0" fontId="39" fillId="0" borderId="0" xfId="0" applyFont="1" applyFill="1" applyAlignment="1" applyProtection="1">
      <alignment horizontal="left" vertical="center"/>
    </xf>
    <xf numFmtId="0" fontId="39" fillId="0" borderId="0" xfId="0" applyFont="1" applyAlignment="1" applyProtection="1">
      <alignment horizontal="left" vertical="center"/>
    </xf>
    <xf numFmtId="0" fontId="39" fillId="0" borderId="0" xfId="0" applyFont="1" applyFill="1" applyAlignment="1" applyProtection="1"/>
    <xf numFmtId="0" fontId="39" fillId="0" borderId="0" xfId="0" applyFont="1" applyFill="1" applyAlignment="1" applyProtection="1">
      <alignment horizontal="center" vertical="center"/>
    </xf>
    <xf numFmtId="0" fontId="39" fillId="0" borderId="0" xfId="0" applyFont="1" applyAlignment="1" applyProtection="1"/>
    <xf numFmtId="0" fontId="51" fillId="0" borderId="0" xfId="0" applyFont="1" applyFill="1" applyAlignment="1" applyProtection="1">
      <alignment horizontal="center" vertical="center"/>
    </xf>
    <xf numFmtId="0" fontId="51" fillId="0" borderId="0" xfId="0" applyFont="1" applyProtection="1"/>
    <xf numFmtId="0" fontId="19" fillId="0" borderId="0" xfId="0" applyFont="1" applyFill="1" applyAlignment="1" applyProtection="1">
      <alignment horizontal="center" vertical="center"/>
    </xf>
    <xf numFmtId="0" fontId="40" fillId="0" borderId="0" xfId="0" applyFont="1" applyProtection="1"/>
    <xf numFmtId="0" fontId="40" fillId="0" borderId="0" xfId="0" applyFont="1" applyFill="1" applyAlignment="1" applyProtection="1">
      <alignment horizontal="center" vertical="center"/>
    </xf>
    <xf numFmtId="0" fontId="73" fillId="0" borderId="0" xfId="0" applyFont="1" applyFill="1" applyAlignment="1" applyProtection="1">
      <alignment horizontal="center" vertical="center"/>
    </xf>
    <xf numFmtId="0" fontId="1" fillId="0" borderId="0" xfId="0" applyFont="1" applyFill="1" applyBorder="1" applyAlignment="1" applyProtection="1">
      <alignment horizontal="center" vertical="center" wrapText="1"/>
    </xf>
    <xf numFmtId="0" fontId="0" fillId="0" borderId="42" xfId="0" applyBorder="1" applyAlignment="1" applyProtection="1"/>
    <xf numFmtId="0" fontId="0" fillId="0" borderId="42" xfId="0" applyBorder="1" applyProtection="1"/>
    <xf numFmtId="0" fontId="24" fillId="0" borderId="43" xfId="0" applyFont="1" applyFill="1" applyBorder="1" applyAlignment="1" applyProtection="1">
      <alignment horizontal="center" vertical="center"/>
    </xf>
    <xf numFmtId="0" fontId="0" fillId="0" borderId="45" xfId="0" applyBorder="1" applyProtection="1"/>
    <xf numFmtId="0" fontId="24" fillId="0" borderId="45" xfId="0" applyFont="1" applyFill="1" applyBorder="1" applyAlignment="1" applyProtection="1">
      <alignment horizontal="center" vertical="center"/>
    </xf>
    <xf numFmtId="0" fontId="67" fillId="0" borderId="60" xfId="0" applyFont="1" applyBorder="1" applyAlignment="1" applyProtection="1">
      <alignment horizontal="left" vertical="center" wrapText="1"/>
    </xf>
    <xf numFmtId="0" fontId="0" fillId="0" borderId="44" xfId="0" applyBorder="1" applyProtection="1"/>
    <xf numFmtId="0" fontId="0" fillId="0" borderId="61" xfId="0" applyBorder="1" applyProtection="1"/>
    <xf numFmtId="0" fontId="0" fillId="0" borderId="43" xfId="0" applyBorder="1" applyProtection="1"/>
    <xf numFmtId="0" fontId="30" fillId="0" borderId="10" xfId="0" applyFont="1" applyBorder="1" applyAlignment="1" applyProtection="1">
      <alignment horizontal="center" vertical="center"/>
    </xf>
    <xf numFmtId="0" fontId="1" fillId="0" borderId="10" xfId="0" applyFont="1" applyBorder="1" applyAlignment="1" applyProtection="1">
      <alignment horizontal="left" vertical="center"/>
    </xf>
    <xf numFmtId="0" fontId="42" fillId="0" borderId="10" xfId="0" applyFont="1" applyBorder="1" applyAlignment="1" applyProtection="1">
      <alignment horizontal="center" vertical="center"/>
    </xf>
    <xf numFmtId="0" fontId="9" fillId="2" borderId="10" xfId="0" applyFont="1" applyFill="1" applyBorder="1" applyAlignment="1" applyProtection="1">
      <alignment horizontal="left" vertical="center" wrapText="1"/>
      <protection locked="0"/>
    </xf>
    <xf numFmtId="0" fontId="0" fillId="0" borderId="0" xfId="0" applyFill="1" applyAlignment="1" applyProtection="1"/>
    <xf numFmtId="0" fontId="10" fillId="0" borderId="42" xfId="0" applyFont="1" applyBorder="1" applyAlignment="1" applyProtection="1"/>
    <xf numFmtId="0" fontId="24" fillId="0" borderId="0" xfId="0" applyFont="1" applyFill="1" applyBorder="1" applyAlignment="1" applyProtection="1">
      <alignment horizontal="center" vertical="center" wrapText="1"/>
    </xf>
    <xf numFmtId="0" fontId="25" fillId="0" borderId="0" xfId="0" applyFont="1" applyAlignment="1" applyProtection="1">
      <alignment horizontal="center"/>
    </xf>
    <xf numFmtId="0" fontId="25" fillId="0" borderId="0" xfId="0" applyFont="1" applyAlignment="1" applyProtection="1"/>
    <xf numFmtId="0" fontId="25" fillId="0" borderId="0" xfId="0" applyFont="1" applyFill="1" applyAlignment="1" applyProtection="1"/>
    <xf numFmtId="0" fontId="55" fillId="0" borderId="0" xfId="0" applyFont="1" applyAlignment="1" applyProtection="1">
      <alignment horizontal="left" vertical="center"/>
    </xf>
    <xf numFmtId="0" fontId="55" fillId="0" borderId="0" xfId="0" applyFont="1" applyAlignment="1">
      <alignment wrapText="1"/>
    </xf>
    <xf numFmtId="0" fontId="25" fillId="0" borderId="0" xfId="0" applyFont="1" applyFill="1" applyBorder="1" applyProtection="1"/>
    <xf numFmtId="0" fontId="25" fillId="0" borderId="0" xfId="0" applyFont="1" applyBorder="1" applyProtection="1"/>
    <xf numFmtId="0" fontId="18" fillId="0" borderId="0" xfId="0" applyFont="1" applyFill="1" applyBorder="1" applyAlignment="1" applyProtection="1">
      <alignment vertical="center"/>
    </xf>
    <xf numFmtId="0" fontId="68" fillId="0" borderId="0" xfId="0" applyFont="1" applyFill="1" applyBorder="1" applyProtection="1"/>
    <xf numFmtId="0" fontId="75" fillId="0" borderId="0" xfId="0" applyFont="1" applyFill="1" applyBorder="1" applyAlignment="1" applyProtection="1">
      <alignment horizontal="center" vertical="center" wrapText="1"/>
    </xf>
    <xf numFmtId="0" fontId="25" fillId="0" borderId="0" xfId="0" applyFont="1" applyProtection="1"/>
    <xf numFmtId="0" fontId="0" fillId="0" borderId="0" xfId="0" applyAlignment="1">
      <alignment horizontal="center" vertical="center" wrapText="1"/>
    </xf>
    <xf numFmtId="164" fontId="0" fillId="0" borderId="0" xfId="2" applyFont="1" applyAlignment="1">
      <alignment horizontal="center" vertical="center" wrapText="1"/>
    </xf>
    <xf numFmtId="0" fontId="22" fillId="0" borderId="0" xfId="0" applyFont="1"/>
    <xf numFmtId="164" fontId="22" fillId="0" borderId="0" xfId="2" applyFont="1" applyAlignment="1">
      <alignment horizontal="center" vertical="center" wrapText="1"/>
    </xf>
    <xf numFmtId="1" fontId="0" fillId="0" borderId="0" xfId="0" applyNumberFormat="1" applyAlignment="1">
      <alignment horizontal="center" vertical="center" wrapText="1"/>
    </xf>
    <xf numFmtId="1" fontId="22" fillId="0" borderId="0" xfId="0" applyNumberFormat="1" applyFont="1"/>
    <xf numFmtId="0" fontId="1" fillId="0" borderId="14" xfId="0" applyFont="1" applyFill="1" applyBorder="1" applyAlignment="1">
      <alignment horizontal="left" vertical="center"/>
    </xf>
    <xf numFmtId="0" fontId="22" fillId="0" borderId="0" xfId="0" applyFont="1" applyFill="1" applyAlignment="1" applyProtection="1"/>
    <xf numFmtId="0" fontId="0" fillId="0" borderId="0" xfId="0" applyAlignment="1">
      <alignment horizontal="left" vertical="top"/>
    </xf>
    <xf numFmtId="0" fontId="51" fillId="0" borderId="0" xfId="0" applyFont="1" applyBorder="1" applyProtection="1"/>
    <xf numFmtId="0" fontId="22" fillId="0" borderId="0" xfId="0" applyFont="1" applyFill="1" applyBorder="1" applyProtection="1"/>
    <xf numFmtId="0" fontId="22" fillId="0" borderId="0" xfId="0" applyFont="1" applyBorder="1" applyProtection="1"/>
    <xf numFmtId="0" fontId="19" fillId="0" borderId="0" xfId="0" applyFont="1" applyFill="1" applyBorder="1" applyAlignment="1" applyProtection="1">
      <alignment vertical="center"/>
    </xf>
    <xf numFmtId="0" fontId="19" fillId="0" borderId="0" xfId="0" applyFont="1" applyBorder="1" applyAlignment="1" applyProtection="1">
      <alignment vertical="center"/>
    </xf>
    <xf numFmtId="0" fontId="40" fillId="0" borderId="0" xfId="0" applyFont="1" applyFill="1" applyBorder="1" applyProtection="1"/>
    <xf numFmtId="0" fontId="40" fillId="0" borderId="0" xfId="0" applyFont="1" applyBorder="1" applyProtection="1"/>
    <xf numFmtId="0" fontId="19"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7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73" fillId="0" borderId="0" xfId="0" applyFont="1" applyFill="1" applyBorder="1" applyAlignment="1" applyProtection="1">
      <alignment horizontal="left" vertical="center"/>
    </xf>
    <xf numFmtId="0" fontId="51" fillId="0" borderId="0" xfId="0" applyFont="1" applyFill="1" applyBorder="1" applyProtection="1"/>
    <xf numFmtId="0" fontId="73" fillId="0" borderId="0" xfId="0" applyFont="1" applyFill="1" applyBorder="1" applyAlignment="1" applyProtection="1">
      <alignment horizontal="center" vertical="center"/>
    </xf>
    <xf numFmtId="0" fontId="77" fillId="0" borderId="0" xfId="0" applyFont="1" applyAlignment="1" applyProtection="1">
      <alignment horizontal="left" vertical="top"/>
    </xf>
    <xf numFmtId="0" fontId="10" fillId="0" borderId="0" xfId="0" applyFont="1" applyBorder="1" applyAlignment="1" applyProtection="1"/>
    <xf numFmtId="0" fontId="10" fillId="0" borderId="45" xfId="0" applyFont="1" applyBorder="1" applyAlignment="1" applyProtection="1">
      <alignment vertical="center"/>
    </xf>
    <xf numFmtId="0" fontId="52" fillId="9" borderId="69" xfId="0" applyFont="1" applyFill="1" applyBorder="1" applyAlignment="1" applyProtection="1">
      <alignment horizontal="center" vertical="center" wrapText="1"/>
    </xf>
    <xf numFmtId="0" fontId="53" fillId="9" borderId="71" xfId="0" applyFont="1" applyFill="1" applyBorder="1" applyProtection="1"/>
    <xf numFmtId="0" fontId="52" fillId="9" borderId="70" xfId="0" applyFont="1" applyFill="1" applyBorder="1" applyAlignment="1" applyProtection="1">
      <alignment horizontal="center" vertical="center"/>
    </xf>
    <xf numFmtId="0" fontId="52" fillId="9" borderId="71" xfId="0" applyFont="1" applyFill="1" applyBorder="1" applyAlignment="1" applyProtection="1">
      <alignment horizontal="center" vertical="center"/>
    </xf>
    <xf numFmtId="0" fontId="25" fillId="0" borderId="11" xfId="0" applyFont="1" applyBorder="1" applyProtection="1"/>
    <xf numFmtId="0" fontId="25" fillId="0" borderId="12" xfId="0" applyFont="1" applyBorder="1" applyProtection="1"/>
    <xf numFmtId="0" fontId="22" fillId="0" borderId="0" xfId="0" applyFont="1" applyAlignment="1" applyProtection="1">
      <alignment horizontal="center"/>
    </xf>
    <xf numFmtId="0" fontId="39" fillId="0" borderId="0" xfId="0" applyFont="1" applyAlignment="1">
      <alignment wrapText="1"/>
    </xf>
    <xf numFmtId="0" fontId="19" fillId="0" borderId="0" xfId="0" applyFont="1" applyFill="1" applyBorder="1" applyAlignment="1" applyProtection="1">
      <alignment horizontal="center" vertical="center" wrapText="1"/>
    </xf>
    <xf numFmtId="0" fontId="76" fillId="0" borderId="0" xfId="0" applyFont="1" applyFill="1" applyBorder="1" applyAlignment="1" applyProtection="1">
      <alignment horizontal="center" vertical="center" wrapText="1"/>
    </xf>
    <xf numFmtId="0" fontId="78" fillId="0" borderId="0" xfId="0" applyFont="1" applyFill="1" applyBorder="1" applyAlignment="1" applyProtection="1">
      <alignment horizontal="center" vertical="center"/>
    </xf>
    <xf numFmtId="0" fontId="78" fillId="0" borderId="0" xfId="0" applyFont="1" applyFill="1" applyBorder="1" applyAlignment="1" applyProtection="1">
      <alignment horizontal="left" vertical="center"/>
    </xf>
    <xf numFmtId="0" fontId="79" fillId="0" borderId="0" xfId="0" applyFont="1" applyFill="1" applyBorder="1" applyAlignment="1" applyProtection="1">
      <alignment horizontal="center" vertical="center"/>
      <protection locked="0"/>
    </xf>
    <xf numFmtId="0" fontId="73" fillId="0" borderId="0" xfId="0" applyFont="1" applyFill="1" applyBorder="1" applyAlignment="1" applyProtection="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center" vertical="center"/>
    </xf>
    <xf numFmtId="0" fontId="54" fillId="11" borderId="24" xfId="0" applyFont="1" applyFill="1" applyBorder="1" applyAlignment="1">
      <alignment horizontal="center" vertical="center" wrapText="1"/>
    </xf>
    <xf numFmtId="0" fontId="0" fillId="11" borderId="24" xfId="0" applyFill="1" applyBorder="1" applyAlignment="1">
      <alignment vertical="center"/>
    </xf>
    <xf numFmtId="0" fontId="4" fillId="11" borderId="24" xfId="0" applyFont="1" applyFill="1" applyBorder="1" applyAlignment="1">
      <alignment vertical="center"/>
    </xf>
    <xf numFmtId="0" fontId="54" fillId="11" borderId="24" xfId="0" applyFont="1" applyFill="1" applyBorder="1" applyAlignment="1">
      <alignment horizontal="center" vertical="center"/>
    </xf>
    <xf numFmtId="0" fontId="0" fillId="11" borderId="24" xfId="0" applyFill="1" applyBorder="1" applyAlignment="1">
      <alignment vertical="center" wrapText="1"/>
    </xf>
    <xf numFmtId="0" fontId="34" fillId="0" borderId="0" xfId="0" applyFont="1"/>
    <xf numFmtId="0" fontId="13" fillId="0" borderId="0" xfId="0" applyFont="1" applyAlignment="1">
      <alignment horizontal="left" vertical="center" wrapText="1"/>
    </xf>
    <xf numFmtId="0" fontId="33" fillId="0" borderId="0" xfId="0" applyFont="1"/>
    <xf numFmtId="0" fontId="13" fillId="0" borderId="0" xfId="0" applyFont="1"/>
    <xf numFmtId="0" fontId="13" fillId="0" borderId="0" xfId="0" applyFont="1" applyAlignment="1">
      <alignment horizontal="left" vertical="center"/>
    </xf>
    <xf numFmtId="0" fontId="9" fillId="0" borderId="0" xfId="0" applyFont="1"/>
    <xf numFmtId="0" fontId="80" fillId="0" borderId="0" xfId="0" applyFont="1"/>
    <xf numFmtId="0" fontId="81" fillId="0" borderId="0" xfId="0" applyFont="1"/>
    <xf numFmtId="0" fontId="42" fillId="0" borderId="0" xfId="0" applyFont="1"/>
    <xf numFmtId="0" fontId="11" fillId="0" borderId="0" xfId="0" applyFont="1"/>
    <xf numFmtId="49" fontId="0" fillId="0" borderId="0" xfId="0" applyNumberFormat="1" applyAlignment="1">
      <alignment horizontal="center" vertical="center" wrapText="1"/>
    </xf>
    <xf numFmtId="0" fontId="76" fillId="0" borderId="0" xfId="0" applyFont="1" applyFill="1" applyBorder="1" applyAlignment="1" applyProtection="1">
      <alignment horizontal="center" vertical="center" wrapText="1"/>
    </xf>
    <xf numFmtId="0" fontId="0" fillId="0" borderId="0" xfId="0" applyAlignment="1">
      <alignment horizontal="center" vertical="center"/>
    </xf>
    <xf numFmtId="0" fontId="1" fillId="0" borderId="14" xfId="0"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9" fillId="0" borderId="0" xfId="0" applyFont="1" applyAlignment="1" applyProtection="1">
      <alignment horizontal="left" vertical="center" wrapText="1"/>
    </xf>
    <xf numFmtId="0" fontId="0" fillId="0" borderId="0" xfId="0" applyAlignment="1">
      <alignment horizontal="left" vertical="center"/>
    </xf>
    <xf numFmtId="0" fontId="28" fillId="0" borderId="16" xfId="0" applyFont="1" applyFill="1" applyBorder="1" applyAlignment="1" applyProtection="1">
      <alignment vertical="center"/>
    </xf>
    <xf numFmtId="0" fontId="0" fillId="0" borderId="16" xfId="0" applyBorder="1" applyAlignment="1" applyProtection="1"/>
    <xf numFmtId="0" fontId="0" fillId="0" borderId="17" xfId="0" applyBorder="1" applyAlignment="1" applyProtection="1"/>
    <xf numFmtId="0" fontId="10" fillId="0" borderId="15" xfId="0" applyFont="1" applyBorder="1" applyAlignment="1" applyProtection="1">
      <alignment horizontal="left" vertical="center"/>
    </xf>
    <xf numFmtId="0" fontId="28" fillId="0" borderId="30" xfId="0" applyFont="1" applyFill="1" applyBorder="1" applyAlignment="1" applyProtection="1">
      <alignment vertical="center" wrapText="1"/>
    </xf>
    <xf numFmtId="0" fontId="0" fillId="0" borderId="30" xfId="0" applyBorder="1" applyAlignment="1" applyProtection="1">
      <alignment wrapText="1"/>
    </xf>
    <xf numFmtId="0" fontId="0" fillId="0" borderId="31" xfId="0" applyBorder="1" applyAlignment="1" applyProtection="1">
      <alignment wrapText="1"/>
    </xf>
    <xf numFmtId="0" fontId="10" fillId="0" borderId="29" xfId="0" applyFont="1" applyBorder="1" applyAlignment="1" applyProtection="1">
      <alignment horizontal="left" vertical="center" wrapText="1"/>
    </xf>
    <xf numFmtId="0" fontId="0" fillId="0" borderId="32" xfId="0" applyBorder="1" applyAlignment="1" applyProtection="1">
      <alignment horizontal="left" vertical="center" wrapText="1"/>
    </xf>
    <xf numFmtId="0" fontId="0" fillId="0" borderId="33" xfId="0" applyBorder="1" applyAlignment="1" applyProtection="1">
      <alignment wrapText="1"/>
    </xf>
    <xf numFmtId="0" fontId="10" fillId="0" borderId="29" xfId="0" applyFont="1" applyFill="1" applyBorder="1" applyAlignment="1" applyProtection="1">
      <alignment horizontal="left" vertical="center" wrapText="1"/>
    </xf>
    <xf numFmtId="0" fontId="0" fillId="0" borderId="30" xfId="0" applyFill="1" applyBorder="1" applyAlignment="1" applyProtection="1">
      <alignment wrapText="1"/>
    </xf>
    <xf numFmtId="0" fontId="0" fillId="0" borderId="32" xfId="0" applyFill="1" applyBorder="1" applyAlignment="1" applyProtection="1">
      <alignment horizontal="left" vertical="center" wrapText="1"/>
    </xf>
    <xf numFmtId="0" fontId="0" fillId="0" borderId="33" xfId="0" applyFill="1" applyBorder="1" applyAlignment="1" applyProtection="1">
      <alignment wrapText="1"/>
    </xf>
    <xf numFmtId="0" fontId="43" fillId="0" borderId="33" xfId="0" applyFont="1" applyFill="1" applyBorder="1" applyAlignment="1" applyProtection="1">
      <alignment vertical="center"/>
    </xf>
    <xf numFmtId="0" fontId="44" fillId="0" borderId="33" xfId="0" applyFont="1" applyBorder="1" applyAlignment="1" applyProtection="1"/>
    <xf numFmtId="0" fontId="44" fillId="0" borderId="34" xfId="0" applyFont="1" applyBorder="1" applyAlignment="1" applyProtection="1"/>
    <xf numFmtId="0" fontId="0" fillId="0" borderId="34" xfId="0" applyBorder="1" applyAlignment="1" applyProtection="1"/>
    <xf numFmtId="0" fontId="28" fillId="0" borderId="30" xfId="0" applyFont="1" applyFill="1" applyBorder="1" applyAlignment="1" applyProtection="1">
      <alignment vertical="center"/>
    </xf>
    <xf numFmtId="0" fontId="0" fillId="0" borderId="30" xfId="0" applyBorder="1" applyAlignment="1" applyProtection="1"/>
    <xf numFmtId="0" fontId="0" fillId="0" borderId="31" xfId="0" applyBorder="1" applyAlignment="1" applyProtection="1"/>
    <xf numFmtId="0" fontId="43" fillId="0" borderId="33" xfId="0" applyFont="1" applyFill="1" applyBorder="1" applyAlignment="1" applyProtection="1">
      <alignment vertical="center" wrapText="1"/>
    </xf>
    <xf numFmtId="0" fontId="44" fillId="0" borderId="33" xfId="0" applyFont="1" applyBorder="1" applyAlignment="1" applyProtection="1">
      <alignment wrapText="1"/>
    </xf>
    <xf numFmtId="0" fontId="44" fillId="0" borderId="34" xfId="0" applyFont="1" applyBorder="1" applyAlignment="1" applyProtection="1">
      <alignment wrapText="1"/>
    </xf>
    <xf numFmtId="0" fontId="43" fillId="0" borderId="16" xfId="0" applyFont="1" applyFill="1" applyBorder="1" applyAlignment="1" applyProtection="1">
      <alignment vertical="center" wrapText="1"/>
    </xf>
    <xf numFmtId="0" fontId="44" fillId="0" borderId="16" xfId="0" applyFont="1" applyFill="1" applyBorder="1" applyAlignment="1" applyProtection="1">
      <alignment wrapText="1"/>
    </xf>
    <xf numFmtId="0" fontId="44" fillId="0" borderId="17" xfId="0" applyFont="1" applyFill="1" applyBorder="1" applyAlignment="1" applyProtection="1">
      <alignment wrapText="1"/>
    </xf>
    <xf numFmtId="0" fontId="11" fillId="2" borderId="0" xfId="0" applyFont="1" applyFill="1" applyBorder="1" applyAlignment="1" applyProtection="1">
      <alignment horizontal="left" vertical="top" wrapText="1"/>
      <protection locked="0"/>
    </xf>
    <xf numFmtId="0" fontId="24" fillId="0" borderId="0" xfId="0" applyFont="1" applyBorder="1" applyAlignment="1" applyProtection="1"/>
    <xf numFmtId="0" fontId="24" fillId="0" borderId="0" xfId="0" applyFont="1" applyBorder="1" applyAlignment="1" applyProtection="1">
      <alignment horizontal="center" vertical="center"/>
    </xf>
    <xf numFmtId="0" fontId="55" fillId="0" borderId="10" xfId="0" applyFont="1" applyBorder="1" applyAlignment="1" applyProtection="1">
      <alignment horizontal="center" vertical="center"/>
    </xf>
    <xf numFmtId="0" fontId="24" fillId="0" borderId="0" xfId="0" applyFont="1" applyBorder="1" applyAlignment="1" applyProtection="1">
      <alignment horizontal="center" vertical="center" wrapText="1"/>
    </xf>
    <xf numFmtId="0" fontId="24" fillId="0" borderId="10" xfId="0" applyFont="1" applyBorder="1" applyAlignment="1" applyProtection="1">
      <alignment horizontal="center" vertical="center"/>
    </xf>
    <xf numFmtId="0" fontId="11" fillId="0" borderId="0" xfId="0" applyFont="1" applyAlignment="1" applyProtection="1">
      <alignment horizontal="center"/>
    </xf>
    <xf numFmtId="0" fontId="0" fillId="0" borderId="0" xfId="0" applyAlignment="1" applyProtection="1">
      <alignment horizontal="center"/>
    </xf>
    <xf numFmtId="0" fontId="9" fillId="2" borderId="19"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24" fillId="0" borderId="0" xfId="0" applyFont="1" applyFill="1" applyBorder="1" applyAlignment="1" applyProtection="1">
      <alignment horizontal="center" vertical="center"/>
    </xf>
    <xf numFmtId="0" fontId="55" fillId="0" borderId="10" xfId="0" applyFont="1" applyFill="1" applyBorder="1" applyAlignment="1" applyProtection="1">
      <alignment horizontal="center" vertical="center"/>
    </xf>
    <xf numFmtId="0" fontId="43" fillId="0" borderId="0" xfId="0" applyFont="1" applyAlignment="1" applyProtection="1">
      <alignment horizontal="left" vertical="center" wrapText="1"/>
    </xf>
    <xf numFmtId="0" fontId="0" fillId="0" borderId="0" xfId="0" applyAlignment="1">
      <alignment wrapText="1"/>
    </xf>
    <xf numFmtId="0" fontId="9" fillId="0" borderId="21" xfId="0" applyFont="1" applyBorder="1" applyAlignment="1" applyProtection="1">
      <alignment horizontal="left" vertical="center" wrapText="1"/>
    </xf>
    <xf numFmtId="0" fontId="13" fillId="0" borderId="21" xfId="0" applyFont="1" applyBorder="1" applyAlignment="1" applyProtection="1">
      <alignment horizontal="left" vertical="center"/>
    </xf>
    <xf numFmtId="0" fontId="11" fillId="0" borderId="0" xfId="0" applyFont="1" applyAlignment="1" applyProtection="1">
      <alignment horizontal="center" vertical="center"/>
    </xf>
    <xf numFmtId="0" fontId="0" fillId="0" borderId="0" xfId="0" applyBorder="1" applyAlignment="1" applyProtection="1"/>
    <xf numFmtId="0" fontId="24" fillId="0" borderId="0" xfId="0" applyFont="1" applyFill="1" applyBorder="1" applyAlignment="1" applyProtection="1">
      <alignment horizontal="center" vertical="center" wrapText="1"/>
    </xf>
    <xf numFmtId="0" fontId="4" fillId="2" borderId="15" xfId="0" applyFont="1" applyFill="1" applyBorder="1" applyAlignment="1" applyProtection="1">
      <protection locked="0"/>
    </xf>
    <xf numFmtId="0" fontId="4" fillId="0" borderId="17" xfId="0" applyFont="1" applyBorder="1" applyAlignment="1" applyProtection="1">
      <protection locked="0"/>
    </xf>
    <xf numFmtId="0" fontId="0" fillId="0" borderId="22" xfId="0" applyBorder="1" applyAlignment="1">
      <alignment horizontal="center"/>
    </xf>
    <xf numFmtId="49" fontId="4" fillId="2" borderId="15" xfId="0" applyNumberFormat="1" applyFont="1" applyFill="1" applyBorder="1" applyAlignment="1" applyProtection="1">
      <protection locked="0"/>
    </xf>
    <xf numFmtId="49" fontId="4" fillId="0" borderId="17" xfId="0" applyNumberFormat="1" applyFont="1" applyBorder="1" applyAlignment="1" applyProtection="1">
      <protection locked="0"/>
    </xf>
    <xf numFmtId="0" fontId="22" fillId="0" borderId="0" xfId="0" applyFont="1" applyFill="1" applyAlignment="1" applyProtection="1"/>
    <xf numFmtId="0" fontId="14" fillId="0" borderId="0" xfId="0" applyFont="1" applyAlignment="1" applyProtection="1"/>
    <xf numFmtId="0" fontId="14" fillId="0" borderId="0" xfId="0" applyFont="1" applyAlignment="1"/>
    <xf numFmtId="0" fontId="0" fillId="0" borderId="0" xfId="0" applyAlignment="1"/>
    <xf numFmtId="0" fontId="20" fillId="0" borderId="0" xfId="0" applyFont="1" applyAlignment="1" applyProtection="1">
      <alignment horizontal="center" vertical="center" wrapText="1"/>
    </xf>
    <xf numFmtId="0" fontId="21" fillId="0" borderId="0" xfId="0" applyFont="1" applyAlignment="1" applyProtection="1">
      <alignment horizontal="center"/>
    </xf>
    <xf numFmtId="0" fontId="15" fillId="0" borderId="0" xfId="0" applyFont="1" applyAlignment="1" applyProtection="1">
      <alignment horizontal="center" vertical="center"/>
    </xf>
    <xf numFmtId="0" fontId="0" fillId="0" borderId="0" xfId="0" applyFont="1" applyAlignment="1" applyProtection="1">
      <alignment horizontal="center"/>
    </xf>
    <xf numFmtId="0" fontId="0" fillId="0" borderId="0" xfId="0" applyFont="1" applyAlignment="1" applyProtection="1"/>
    <xf numFmtId="0" fontId="0" fillId="0" borderId="0" xfId="0" applyAlignment="1" applyProtection="1"/>
    <xf numFmtId="0" fontId="16" fillId="0" borderId="0" xfId="0" applyFont="1" applyAlignment="1" applyProtection="1">
      <alignment horizontal="justify" vertical="center" wrapText="1"/>
    </xf>
    <xf numFmtId="0" fontId="13" fillId="0" borderId="0" xfId="0" applyFont="1" applyAlignment="1" applyProtection="1"/>
    <xf numFmtId="0" fontId="18" fillId="0" borderId="0" xfId="0" applyFont="1" applyFill="1" applyAlignment="1" applyProtection="1">
      <alignment horizontal="left" vertical="top"/>
    </xf>
    <xf numFmtId="0" fontId="0" fillId="0" borderId="0" xfId="0" applyFill="1" applyAlignment="1" applyProtection="1">
      <alignment horizontal="left" vertical="top"/>
    </xf>
    <xf numFmtId="0" fontId="18" fillId="0" borderId="0" xfId="0" applyFont="1" applyFill="1" applyAlignment="1" applyProtection="1">
      <alignment horizontal="left" vertical="top" wrapText="1"/>
    </xf>
    <xf numFmtId="0" fontId="47" fillId="0" borderId="0" xfId="0" applyFont="1" applyBorder="1" applyAlignment="1" applyProtection="1">
      <alignment horizontal="center" vertical="top" wrapText="1"/>
    </xf>
    <xf numFmtId="0" fontId="0" fillId="0" borderId="0" xfId="0" applyFont="1" applyAlignment="1" applyProtection="1">
      <alignment vertical="top"/>
    </xf>
    <xf numFmtId="0" fontId="4" fillId="2" borderId="16" xfId="0" applyFont="1" applyFill="1" applyBorder="1" applyAlignment="1" applyProtection="1">
      <protection locked="0"/>
    </xf>
    <xf numFmtId="0" fontId="4" fillId="0" borderId="16" xfId="0" applyFont="1" applyBorder="1" applyAlignment="1" applyProtection="1">
      <protection locked="0"/>
    </xf>
    <xf numFmtId="14" fontId="4" fillId="2" borderId="15" xfId="0" applyNumberFormat="1" applyFont="1" applyFill="1" applyBorder="1" applyAlignment="1" applyProtection="1">
      <protection locked="0"/>
    </xf>
    <xf numFmtId="14" fontId="0" fillId="0" borderId="16" xfId="0" applyNumberFormat="1" applyBorder="1" applyAlignment="1" applyProtection="1">
      <protection locked="0"/>
    </xf>
    <xf numFmtId="14" fontId="0" fillId="0" borderId="17" xfId="0" applyNumberFormat="1" applyBorder="1" applyAlignment="1" applyProtection="1">
      <protection locked="0"/>
    </xf>
    <xf numFmtId="49" fontId="4" fillId="2" borderId="15" xfId="0" applyNumberFormat="1" applyFont="1" applyFill="1" applyBorder="1" applyAlignment="1" applyProtection="1">
      <alignment horizontal="right" vertical="center"/>
      <protection locked="0"/>
    </xf>
    <xf numFmtId="49" fontId="4" fillId="2" borderId="16" xfId="0" applyNumberFormat="1" applyFont="1" applyFill="1" applyBorder="1" applyAlignment="1" applyProtection="1">
      <alignment horizontal="right" vertical="center"/>
      <protection locked="0"/>
    </xf>
    <xf numFmtId="49" fontId="4" fillId="2" borderId="17" xfId="0" applyNumberFormat="1" applyFont="1" applyFill="1" applyBorder="1" applyAlignment="1" applyProtection="1">
      <alignment horizontal="right" vertical="center"/>
      <protection locked="0"/>
    </xf>
    <xf numFmtId="0" fontId="4" fillId="2" borderId="17" xfId="0" applyFont="1" applyFill="1" applyBorder="1" applyAlignment="1" applyProtection="1">
      <protection locked="0"/>
    </xf>
    <xf numFmtId="0" fontId="13" fillId="0" borderId="0" xfId="0" applyFont="1" applyAlignment="1" applyProtection="1">
      <alignment horizontal="right" vertical="center"/>
    </xf>
    <xf numFmtId="0" fontId="13" fillId="0" borderId="0" xfId="0" applyFont="1" applyAlignment="1" applyProtection="1">
      <alignment horizontal="right"/>
    </xf>
    <xf numFmtId="0" fontId="0" fillId="0" borderId="22" xfId="0" applyBorder="1" applyAlignment="1" applyProtection="1">
      <alignment horizontal="right"/>
    </xf>
    <xf numFmtId="0" fontId="71" fillId="2" borderId="15" xfId="1"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0" fillId="0" borderId="16" xfId="0" applyBorder="1" applyAlignment="1" applyProtection="1">
      <protection locked="0"/>
    </xf>
    <xf numFmtId="0" fontId="0" fillId="0" borderId="17" xfId="0" applyBorder="1" applyAlignment="1" applyProtection="1">
      <protection locked="0"/>
    </xf>
    <xf numFmtId="0" fontId="24" fillId="0" borderId="0" xfId="0" applyFont="1" applyAlignment="1" applyProtection="1">
      <alignment horizontal="center" vertical="center" wrapText="1"/>
    </xf>
    <xf numFmtId="0" fontId="24" fillId="0" borderId="0" xfId="0" applyFont="1" applyAlignment="1">
      <alignment horizontal="center" vertical="center" wrapText="1"/>
    </xf>
    <xf numFmtId="0" fontId="31" fillId="0" borderId="0" xfId="0" applyFont="1" applyFill="1" applyAlignment="1" applyProtection="1">
      <alignment horizontal="center" vertical="center" wrapText="1"/>
    </xf>
    <xf numFmtId="0" fontId="21" fillId="0" borderId="0" xfId="0" applyFont="1" applyFill="1" applyAlignment="1">
      <alignment horizontal="center" vertical="center" wrapText="1"/>
    </xf>
    <xf numFmtId="0" fontId="1" fillId="10" borderId="0" xfId="0" applyFont="1" applyFill="1" applyAlignment="1" applyProtection="1">
      <alignment horizontal="center" vertical="center" wrapText="1"/>
    </xf>
    <xf numFmtId="0" fontId="0" fillId="10" borderId="0" xfId="0" applyFont="1" applyFill="1" applyAlignment="1">
      <alignment horizontal="center" vertical="center" wrapText="1"/>
    </xf>
    <xf numFmtId="0" fontId="1" fillId="10" borderId="0" xfId="0" applyFont="1" applyFill="1" applyBorder="1" applyAlignment="1" applyProtection="1">
      <alignment horizontal="center" vertical="center" wrapText="1"/>
    </xf>
    <xf numFmtId="0" fontId="0" fillId="10" borderId="0" xfId="0" applyFont="1" applyFill="1" applyBorder="1" applyAlignment="1">
      <alignment horizontal="center" vertical="center" wrapText="1"/>
    </xf>
    <xf numFmtId="0" fontId="9" fillId="0" borderId="0" xfId="0" applyFont="1" applyAlignment="1" applyProtection="1">
      <alignment horizontal="right" vertical="center"/>
    </xf>
    <xf numFmtId="0" fontId="9" fillId="0" borderId="0" xfId="0" applyFont="1" applyAlignment="1" applyProtection="1">
      <alignment horizontal="center" vertical="center"/>
    </xf>
    <xf numFmtId="0" fontId="13" fillId="0" borderId="0" xfId="0" applyFont="1" applyAlignment="1" applyProtection="1">
      <alignment horizontal="center"/>
    </xf>
    <xf numFmtId="0" fontId="83" fillId="0" borderId="0" xfId="0" applyFont="1" applyAlignment="1" applyProtection="1">
      <alignment horizontal="center" vertical="center" wrapText="1"/>
    </xf>
    <xf numFmtId="0" fontId="23" fillId="0" borderId="0" xfId="0" applyFont="1" applyAlignment="1">
      <alignment horizontal="center" vertical="center" wrapText="1"/>
    </xf>
    <xf numFmtId="0" fontId="9" fillId="0" borderId="0" xfId="0" applyFont="1" applyAlignment="1" applyProtection="1">
      <alignment horizontal="center" vertical="center" wrapText="1"/>
    </xf>
    <xf numFmtId="0" fontId="13" fillId="0" borderId="0" xfId="0" applyFont="1" applyAlignment="1"/>
    <xf numFmtId="0" fontId="0" fillId="0" borderId="0" xfId="0" applyAlignment="1">
      <alignment horizontal="left" vertical="center" wrapText="1"/>
    </xf>
    <xf numFmtId="0" fontId="26" fillId="0" borderId="14" xfId="0" applyFont="1" applyBorder="1" applyAlignment="1" applyProtection="1">
      <alignment horizontal="left" vertical="center"/>
    </xf>
    <xf numFmtId="0" fontId="0" fillId="0" borderId="14" xfId="0" applyBorder="1" applyAlignment="1"/>
    <xf numFmtId="0" fontId="28" fillId="0" borderId="15" xfId="0" applyFont="1" applyBorder="1" applyAlignment="1">
      <alignment horizontal="left" vertical="center" wrapText="1"/>
    </xf>
    <xf numFmtId="0" fontId="82" fillId="0" borderId="16" xfId="0" applyFont="1" applyBorder="1" applyAlignment="1">
      <alignment wrapText="1"/>
    </xf>
    <xf numFmtId="0" fontId="82" fillId="0" borderId="17" xfId="0" applyFont="1" applyBorder="1" applyAlignment="1">
      <alignment wrapText="1"/>
    </xf>
    <xf numFmtId="0" fontId="66" fillId="0" borderId="0" xfId="0" applyFont="1" applyAlignment="1" applyProtection="1">
      <alignment horizontal="left" vertical="center" wrapText="1"/>
    </xf>
    <xf numFmtId="0" fontId="17" fillId="0" borderId="0" xfId="0" applyFont="1" applyAlignment="1">
      <alignment horizontal="left" vertical="center" wrapText="1"/>
    </xf>
    <xf numFmtId="0" fontId="42" fillId="0" borderId="52" xfId="0" applyFont="1" applyBorder="1" applyAlignment="1" applyProtection="1">
      <alignment horizontal="center" vertical="center"/>
    </xf>
    <xf numFmtId="0" fontId="0" fillId="0" borderId="53" xfId="0" applyBorder="1" applyAlignment="1">
      <alignment vertical="center"/>
    </xf>
    <xf numFmtId="0" fontId="10" fillId="2" borderId="38" xfId="0" applyFont="1" applyFill="1" applyBorder="1" applyAlignment="1" applyProtection="1">
      <alignment horizontal="left" vertical="top" wrapText="1"/>
      <protection locked="0"/>
    </xf>
    <xf numFmtId="0" fontId="10" fillId="2" borderId="39" xfId="0" applyFont="1" applyFill="1" applyBorder="1" applyAlignment="1" applyProtection="1">
      <alignment horizontal="left" vertical="top" wrapText="1"/>
      <protection locked="0"/>
    </xf>
    <xf numFmtId="0" fontId="10" fillId="2" borderId="40" xfId="0" applyFont="1" applyFill="1" applyBorder="1" applyAlignment="1" applyProtection="1">
      <alignment horizontal="left" vertical="center" wrapText="1"/>
      <protection locked="0"/>
    </xf>
    <xf numFmtId="0" fontId="0" fillId="0" borderId="41" xfId="0" applyBorder="1" applyAlignment="1" applyProtection="1">
      <alignment horizontal="left"/>
      <protection locked="0"/>
    </xf>
    <xf numFmtId="0" fontId="23" fillId="0" borderId="41" xfId="0" applyFont="1" applyBorder="1" applyAlignment="1" applyProtection="1">
      <alignment horizontal="left"/>
      <protection locked="0"/>
    </xf>
    <xf numFmtId="0" fontId="18" fillId="10" borderId="35" xfId="0" applyFont="1" applyFill="1" applyBorder="1" applyAlignment="1" applyProtection="1">
      <alignment horizontal="center" vertical="center"/>
    </xf>
    <xf numFmtId="0" fontId="0" fillId="10" borderId="36" xfId="0" applyFill="1" applyBorder="1" applyAlignment="1"/>
    <xf numFmtId="0" fontId="10" fillId="2" borderId="40" xfId="0" applyFont="1" applyFill="1" applyBorder="1" applyAlignment="1" applyProtection="1">
      <alignment horizontal="left" vertical="center"/>
      <protection locked="0"/>
    </xf>
    <xf numFmtId="0" fontId="18" fillId="10" borderId="40" xfId="0" applyFont="1" applyFill="1" applyBorder="1" applyAlignment="1" applyProtection="1">
      <alignment horizontal="left" vertical="center" wrapText="1"/>
    </xf>
    <xf numFmtId="0" fontId="0" fillId="10" borderId="54" xfId="0" applyFill="1" applyBorder="1" applyAlignment="1">
      <alignment horizontal="left" vertical="center" wrapText="1"/>
    </xf>
    <xf numFmtId="0" fontId="18" fillId="10" borderId="47" xfId="0" applyFont="1" applyFill="1" applyBorder="1" applyAlignment="1" applyProtection="1">
      <alignment horizontal="center" vertical="center"/>
    </xf>
    <xf numFmtId="0" fontId="0" fillId="10" borderId="48" xfId="0" applyFill="1" applyBorder="1" applyAlignment="1"/>
    <xf numFmtId="0" fontId="11" fillId="0" borderId="0" xfId="0" applyFont="1" applyAlignment="1" applyProtection="1">
      <alignment horizontal="left" vertical="center"/>
    </xf>
    <xf numFmtId="0" fontId="0" fillId="0" borderId="0" xfId="0" applyAlignment="1">
      <alignment horizontal="center" vertical="center"/>
    </xf>
    <xf numFmtId="0" fontId="18" fillId="10" borderId="62" xfId="0" applyFont="1" applyFill="1" applyBorder="1" applyAlignment="1" applyProtection="1">
      <alignment horizontal="center" vertical="center" wrapText="1"/>
    </xf>
    <xf numFmtId="0" fontId="0" fillId="10" borderId="63" xfId="0" applyFill="1" applyBorder="1" applyAlignment="1">
      <alignment wrapText="1"/>
    </xf>
    <xf numFmtId="0" fontId="10" fillId="2" borderId="41" xfId="0" applyFont="1" applyFill="1" applyBorder="1" applyAlignment="1" applyProtection="1">
      <alignment horizontal="left" vertical="center" wrapText="1"/>
      <protection locked="0"/>
    </xf>
    <xf numFmtId="0" fontId="24" fillId="0" borderId="72" xfId="0" applyFont="1" applyBorder="1" applyAlignment="1" applyProtection="1">
      <alignment horizontal="center" vertical="center" wrapText="1"/>
    </xf>
    <xf numFmtId="0" fontId="25" fillId="0" borderId="72" xfId="0" applyFont="1" applyBorder="1" applyAlignment="1">
      <alignment wrapText="1"/>
    </xf>
    <xf numFmtId="0" fontId="52" fillId="9" borderId="69" xfId="0" applyFont="1" applyFill="1" applyBorder="1" applyAlignment="1" applyProtection="1">
      <alignment horizontal="left" vertical="center" wrapText="1"/>
    </xf>
    <xf numFmtId="0" fontId="0" fillId="0" borderId="70" xfId="0" applyBorder="1" applyAlignment="1">
      <alignment horizontal="left" vertical="center" wrapText="1"/>
    </xf>
    <xf numFmtId="0" fontId="76" fillId="0" borderId="0" xfId="0" applyFont="1" applyFill="1" applyBorder="1" applyAlignment="1" applyProtection="1">
      <alignment horizontal="center" vertical="center" wrapText="1"/>
    </xf>
    <xf numFmtId="0" fontId="7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18" fillId="10" borderId="54" xfId="0" applyFont="1" applyFill="1" applyBorder="1" applyAlignment="1" applyProtection="1">
      <alignment horizontal="left" vertical="center" wrapText="1"/>
    </xf>
    <xf numFmtId="0" fontId="24" fillId="10" borderId="40" xfId="0" applyFont="1" applyFill="1" applyBorder="1" applyAlignment="1" applyProtection="1"/>
    <xf numFmtId="0" fontId="24" fillId="10" borderId="54" xfId="0" applyFont="1" applyFill="1" applyBorder="1" applyAlignment="1" applyProtection="1"/>
    <xf numFmtId="0" fontId="10" fillId="2" borderId="67" xfId="0" applyFont="1" applyFill="1" applyBorder="1" applyAlignment="1" applyProtection="1">
      <alignment horizontal="left" vertical="top" wrapText="1"/>
      <protection locked="0"/>
    </xf>
    <xf numFmtId="0" fontId="10" fillId="2" borderId="68" xfId="0" applyFont="1" applyFill="1" applyBorder="1" applyAlignment="1" applyProtection="1">
      <alignment horizontal="left" vertical="top" wrapText="1"/>
      <protection locked="0"/>
    </xf>
    <xf numFmtId="0" fontId="28" fillId="0" borderId="15" xfId="0" applyFont="1" applyFill="1" applyBorder="1" applyAlignment="1" applyProtection="1">
      <alignment vertical="center" wrapText="1"/>
    </xf>
    <xf numFmtId="0" fontId="0" fillId="0" borderId="16" xfId="0" applyBorder="1" applyAlignment="1">
      <alignment wrapText="1"/>
    </xf>
    <xf numFmtId="0" fontId="0" fillId="0" borderId="17" xfId="0" applyBorder="1" applyAlignment="1">
      <alignment wrapText="1"/>
    </xf>
    <xf numFmtId="0" fontId="0" fillId="2" borderId="35" xfId="0" applyFill="1" applyBorder="1" applyAlignment="1" applyProtection="1">
      <alignment horizontal="left" vertical="top" wrapText="1"/>
      <protection locked="0"/>
    </xf>
    <xf numFmtId="0" fontId="0" fillId="2" borderId="65" xfId="0" applyFill="1" applyBorder="1" applyAlignment="1" applyProtection="1">
      <alignment horizontal="left" vertical="top" wrapText="1"/>
      <protection locked="0"/>
    </xf>
    <xf numFmtId="0" fontId="0" fillId="2" borderId="37" xfId="0" applyFill="1" applyBorder="1" applyAlignment="1" applyProtection="1">
      <alignment horizontal="left" vertical="top" wrapText="1"/>
      <protection locked="0"/>
    </xf>
    <xf numFmtId="0" fontId="0" fillId="2" borderId="45" xfId="0" applyFill="1" applyBorder="1" applyAlignment="1" applyProtection="1">
      <alignment horizontal="left" vertical="top" wrapText="1"/>
      <protection locked="0"/>
    </xf>
    <xf numFmtId="0" fontId="0" fillId="2" borderId="38" xfId="0" applyFill="1" applyBorder="1" applyAlignment="1" applyProtection="1">
      <alignment horizontal="left" vertical="top" wrapText="1"/>
      <protection locked="0"/>
    </xf>
    <xf numFmtId="0" fontId="0" fillId="2" borderId="64" xfId="0" applyFill="1" applyBorder="1" applyAlignment="1" applyProtection="1">
      <alignment horizontal="left" vertical="top" wrapText="1"/>
      <protection locked="0"/>
    </xf>
    <xf numFmtId="0" fontId="0" fillId="2" borderId="35" xfId="0" applyFill="1" applyBorder="1" applyAlignment="1" applyProtection="1">
      <alignment wrapText="1"/>
      <protection locked="0"/>
    </xf>
    <xf numFmtId="0" fontId="0" fillId="2" borderId="65" xfId="0" applyFill="1" applyBorder="1" applyAlignment="1" applyProtection="1">
      <alignment wrapText="1"/>
      <protection locked="0"/>
    </xf>
    <xf numFmtId="0" fontId="0" fillId="2" borderId="62" xfId="0" applyFill="1" applyBorder="1" applyAlignment="1" applyProtection="1">
      <alignment wrapText="1"/>
      <protection locked="0"/>
    </xf>
    <xf numFmtId="0" fontId="0" fillId="2" borderId="50" xfId="0" applyFill="1" applyBorder="1" applyAlignment="1" applyProtection="1">
      <alignment wrapText="1"/>
      <protection locked="0"/>
    </xf>
    <xf numFmtId="0" fontId="18" fillId="10" borderId="40" xfId="0" applyFont="1" applyFill="1" applyBorder="1" applyAlignment="1" applyProtection="1">
      <alignment horizontal="center" vertical="center"/>
    </xf>
    <xf numFmtId="0" fontId="0" fillId="10" borderId="41" xfId="0" applyFill="1" applyBorder="1" applyAlignment="1"/>
    <xf numFmtId="0" fontId="26" fillId="0" borderId="29" xfId="0" applyFont="1" applyBorder="1" applyAlignment="1" applyProtection="1">
      <alignment horizontal="left" vertical="center" wrapText="1"/>
    </xf>
    <xf numFmtId="0" fontId="0" fillId="0" borderId="30" xfId="0" applyBorder="1" applyAlignment="1">
      <alignment wrapText="1"/>
    </xf>
    <xf numFmtId="0" fontId="0" fillId="0" borderId="32" xfId="0" applyBorder="1" applyAlignment="1">
      <alignment wrapText="1"/>
    </xf>
    <xf numFmtId="0" fontId="0" fillId="0" borderId="33" xfId="0" applyBorder="1" applyAlignment="1">
      <alignment wrapText="1"/>
    </xf>
    <xf numFmtId="0" fontId="26" fillId="0" borderId="66" xfId="0" applyFont="1" applyBorder="1" applyAlignment="1" applyProtection="1">
      <alignment horizontal="left" vertical="center" wrapText="1"/>
    </xf>
    <xf numFmtId="0" fontId="0" fillId="0" borderId="0" xfId="0" applyBorder="1" applyAlignment="1">
      <alignment wrapText="1"/>
    </xf>
    <xf numFmtId="0" fontId="26" fillId="0" borderId="29" xfId="0" applyFont="1" applyFill="1" applyBorder="1" applyAlignment="1" applyProtection="1">
      <alignment horizontal="left" vertical="center" wrapText="1"/>
    </xf>
    <xf numFmtId="0" fontId="43" fillId="0" borderId="15" xfId="0" applyFont="1" applyFill="1" applyBorder="1" applyAlignment="1" applyProtection="1">
      <alignment wrapText="1"/>
    </xf>
    <xf numFmtId="0" fontId="61" fillId="0" borderId="16" xfId="0" applyFont="1" applyBorder="1" applyAlignment="1">
      <alignment wrapText="1"/>
    </xf>
    <xf numFmtId="0" fontId="61" fillId="0" borderId="17" xfId="0" applyFont="1" applyBorder="1" applyAlignment="1">
      <alignment wrapText="1"/>
    </xf>
    <xf numFmtId="0" fontId="43" fillId="0" borderId="15" xfId="0" applyFont="1" applyFill="1" applyBorder="1" applyAlignment="1" applyProtection="1">
      <alignment vertical="center" wrapText="1"/>
    </xf>
    <xf numFmtId="0" fontId="25" fillId="0" borderId="16" xfId="0" applyFont="1" applyFill="1" applyBorder="1" applyAlignment="1">
      <alignment wrapText="1"/>
    </xf>
    <xf numFmtId="0" fontId="25" fillId="0" borderId="17" xfId="0" applyFont="1" applyFill="1" applyBorder="1" applyAlignment="1">
      <alignment wrapText="1"/>
    </xf>
    <xf numFmtId="0" fontId="0" fillId="2" borderId="62" xfId="0" applyFill="1" applyBorder="1" applyAlignment="1" applyProtection="1">
      <alignment horizontal="left" vertical="top" wrapText="1"/>
      <protection locked="0"/>
    </xf>
    <xf numFmtId="0" fontId="0" fillId="2" borderId="50" xfId="0" applyFill="1" applyBorder="1" applyAlignment="1" applyProtection="1">
      <alignment horizontal="left" vertical="top" wrapText="1"/>
      <protection locked="0"/>
    </xf>
    <xf numFmtId="0" fontId="18" fillId="6" borderId="47" xfId="0" applyFont="1" applyFill="1" applyBorder="1" applyAlignment="1" applyProtection="1">
      <alignment horizontal="center" vertical="center"/>
    </xf>
    <xf numFmtId="0" fontId="0" fillId="6" borderId="48" xfId="0" applyFill="1" applyBorder="1" applyAlignment="1"/>
    <xf numFmtId="0" fontId="0" fillId="0" borderId="0" xfId="0" applyAlignment="1" applyProtection="1">
      <alignment horizontal="left" vertical="center" wrapText="1"/>
    </xf>
    <xf numFmtId="0" fontId="0" fillId="0" borderId="0" xfId="0" applyAlignment="1" applyProtection="1">
      <alignment wrapText="1"/>
    </xf>
    <xf numFmtId="0" fontId="45" fillId="0" borderId="0" xfId="0" applyFont="1" applyAlignment="1" applyProtection="1">
      <alignment horizontal="center" vertical="center" wrapText="1"/>
    </xf>
    <xf numFmtId="0" fontId="25" fillId="0" borderId="0" xfId="0" applyFont="1" applyAlignment="1" applyProtection="1">
      <alignment wrapText="1"/>
    </xf>
    <xf numFmtId="0" fontId="4" fillId="0" borderId="0" xfId="0" applyNumberFormat="1" applyFont="1" applyFill="1" applyBorder="1" applyAlignment="1" applyProtection="1">
      <alignment horizontal="left" vertical="center" wrapText="1"/>
    </xf>
    <xf numFmtId="0" fontId="5" fillId="0" borderId="0" xfId="0" applyFont="1" applyAlignment="1" applyProtection="1">
      <alignment horizontal="center" vertical="center" wrapText="1"/>
    </xf>
    <xf numFmtId="0" fontId="8" fillId="0" borderId="0" xfId="0" applyFont="1" applyFill="1" applyBorder="1" applyAlignment="1" applyProtection="1">
      <alignment horizontal="left" vertical="center" wrapText="1"/>
    </xf>
    <xf numFmtId="0" fontId="34" fillId="0" borderId="0" xfId="0" applyFont="1" applyAlignment="1" applyProtection="1">
      <alignment horizontal="left" vertical="center"/>
    </xf>
    <xf numFmtId="0" fontId="6" fillId="0" borderId="0" xfId="0" applyFont="1" applyAlignment="1" applyProtection="1">
      <alignment horizontal="justify" vertical="center" wrapText="1"/>
    </xf>
    <xf numFmtId="0" fontId="1" fillId="0" borderId="0" xfId="0" applyFont="1" applyAlignment="1" applyProtection="1">
      <alignment horizontal="left" vertical="top" wrapText="1"/>
    </xf>
    <xf numFmtId="0" fontId="1" fillId="0" borderId="0" xfId="0" applyFont="1" applyAlignment="1">
      <alignment horizontal="left" vertical="top" wrapText="1"/>
    </xf>
    <xf numFmtId="0" fontId="4" fillId="0" borderId="0" xfId="0" applyFont="1" applyAlignment="1"/>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24" fillId="0" borderId="16" xfId="0" applyFont="1" applyBorder="1" applyAlignment="1">
      <alignment horizontal="center" vertical="center" wrapText="1"/>
    </xf>
    <xf numFmtId="0" fontId="55" fillId="0" borderId="16" xfId="0" applyFont="1" applyBorder="1" applyAlignment="1">
      <alignment wrapText="1"/>
    </xf>
    <xf numFmtId="0" fontId="13" fillId="0" borderId="0" xfId="0" applyFont="1" applyAlignment="1">
      <alignment horizontal="left" vertical="center" wrapText="1"/>
    </xf>
    <xf numFmtId="0" fontId="13" fillId="0" borderId="0" xfId="0" applyFont="1" applyAlignment="1">
      <alignment wrapText="1"/>
    </xf>
    <xf numFmtId="0" fontId="8" fillId="8" borderId="25" xfId="0" applyFont="1" applyFill="1" applyBorder="1" applyAlignment="1">
      <alignment horizontal="center" vertical="center" wrapText="1"/>
    </xf>
    <xf numFmtId="0" fontId="0" fillId="0" borderId="23" xfId="0" applyBorder="1" applyAlignment="1">
      <alignment horizontal="center" vertical="center" wrapText="1"/>
    </xf>
    <xf numFmtId="0" fontId="8" fillId="8" borderId="56" xfId="0" applyFont="1" applyFill="1" applyBorder="1" applyAlignment="1">
      <alignment horizontal="center" vertical="center" wrapText="1"/>
    </xf>
    <xf numFmtId="0" fontId="34" fillId="0" borderId="57" xfId="0" applyFont="1" applyBorder="1" applyAlignment="1">
      <alignment horizontal="center" vertical="center" wrapText="1"/>
    </xf>
    <xf numFmtId="0" fontId="0" fillId="0" borderId="57" xfId="0" applyBorder="1" applyAlignment="1">
      <alignment horizontal="center" vertical="center" wrapText="1"/>
    </xf>
    <xf numFmtId="0" fontId="0" fillId="0" borderId="55" xfId="0" applyBorder="1" applyAlignment="1">
      <alignment horizontal="center" vertical="center" wrapText="1"/>
    </xf>
    <xf numFmtId="0" fontId="8" fillId="8" borderId="58" xfId="0" applyFont="1" applyFill="1" applyBorder="1" applyAlignment="1">
      <alignment horizontal="center" vertical="center" wrapText="1"/>
    </xf>
    <xf numFmtId="0" fontId="34" fillId="0" borderId="59" xfId="0" applyFont="1" applyBorder="1" applyAlignment="1">
      <alignment horizontal="center" vertical="center" wrapText="1"/>
    </xf>
    <xf numFmtId="0" fontId="0" fillId="0" borderId="59" xfId="0" applyBorder="1" applyAlignment="1">
      <alignment horizontal="center" vertical="center" wrapText="1"/>
    </xf>
    <xf numFmtId="0" fontId="8" fillId="8" borderId="57" xfId="0" applyFont="1" applyFill="1" applyBorder="1" applyAlignment="1">
      <alignment horizontal="center" vertical="center" wrapText="1"/>
    </xf>
  </cellXfs>
  <cellStyles count="3">
    <cellStyle name="Collegamento ipertestuale" xfId="1" builtinId="8"/>
    <cellStyle name="Migliaia" xfId="2" builtinId="3"/>
    <cellStyle name="Normale" xfId="0" builtinId="0"/>
  </cellStyles>
  <dxfs count="0"/>
  <tableStyles count="0" defaultTableStyle="TableStyleMedium2" defaultPivotStyle="PivotStyleLight16"/>
  <colors>
    <mruColors>
      <color rgb="FFCAE8AA"/>
      <color rgb="FFFFFF66"/>
      <color rgb="FF009644"/>
      <color rgb="FFFFFFCC"/>
      <color rgb="FFFFFFB7"/>
      <color rgb="FFFFCCFF"/>
      <color rgb="FFFFDDFF"/>
      <color rgb="FFFFFFB9"/>
      <color rgb="FFFFFF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
    <tabColor rgb="FF92D050"/>
  </sheetPr>
  <dimension ref="A1:C71"/>
  <sheetViews>
    <sheetView topLeftCell="A46" workbookViewId="0">
      <selection activeCell="A78" activeCellId="1" sqref="B61 A78"/>
    </sheetView>
  </sheetViews>
  <sheetFormatPr defaultRowHeight="15"/>
  <cols>
    <col min="1" max="1" width="86.42578125" customWidth="1"/>
    <col min="2" max="2" width="23.85546875" customWidth="1"/>
    <col min="3" max="3" width="16.28515625" customWidth="1"/>
    <col min="7" max="7" width="40.28515625" customWidth="1"/>
    <col min="8" max="8" width="13.7109375" customWidth="1"/>
  </cols>
  <sheetData>
    <row r="1" spans="1:3" ht="15.75" thickBot="1">
      <c r="A1" s="1" t="s">
        <v>18</v>
      </c>
      <c r="B1" t="s">
        <v>2</v>
      </c>
    </row>
    <row r="2" spans="1:3" ht="15.75" thickBot="1">
      <c r="A2" s="2" t="s">
        <v>3</v>
      </c>
      <c r="B2" s="2" t="s">
        <v>19</v>
      </c>
      <c r="C2" s="2" t="s">
        <v>19</v>
      </c>
    </row>
    <row r="3" spans="1:3" ht="15.75" thickBot="1">
      <c r="A3" s="3" t="s">
        <v>4</v>
      </c>
      <c r="B3" s="2" t="s">
        <v>19</v>
      </c>
      <c r="C3" s="2" t="s">
        <v>63</v>
      </c>
    </row>
    <row r="4" spans="1:3" ht="15.75" thickBot="1">
      <c r="A4" s="3" t="s">
        <v>5</v>
      </c>
      <c r="B4" s="2" t="s">
        <v>19</v>
      </c>
    </row>
    <row r="5" spans="1:3" ht="15.75" thickBot="1">
      <c r="A5" s="3" t="s">
        <v>6</v>
      </c>
      <c r="B5" s="2" t="s">
        <v>19</v>
      </c>
    </row>
    <row r="6" spans="1:3" ht="15.75" thickBot="1">
      <c r="A6" s="4" t="s">
        <v>7</v>
      </c>
      <c r="B6" s="2" t="s">
        <v>19</v>
      </c>
    </row>
    <row r="8" spans="1:3" ht="15.75" thickBot="1">
      <c r="A8" s="1" t="s">
        <v>20</v>
      </c>
      <c r="B8" t="s">
        <v>2</v>
      </c>
    </row>
    <row r="9" spans="1:3" ht="15.75" thickBot="1">
      <c r="A9" s="2" t="s">
        <v>8</v>
      </c>
      <c r="B9" s="2" t="s">
        <v>15</v>
      </c>
      <c r="C9" s="5" t="s">
        <v>16</v>
      </c>
    </row>
    <row r="10" spans="1:3" ht="15.75" thickBot="1">
      <c r="A10" s="3" t="s">
        <v>9</v>
      </c>
      <c r="B10" s="3" t="s">
        <v>15</v>
      </c>
      <c r="C10" s="5" t="s">
        <v>15</v>
      </c>
    </row>
    <row r="11" spans="1:3" ht="15.75" thickBot="1">
      <c r="A11" s="3" t="s">
        <v>10</v>
      </c>
      <c r="B11" s="3" t="s">
        <v>15</v>
      </c>
      <c r="C11" s="5" t="s">
        <v>17</v>
      </c>
    </row>
    <row r="12" spans="1:3" ht="15.75" thickBot="1">
      <c r="A12" s="3" t="s">
        <v>11</v>
      </c>
      <c r="B12" s="3" t="s">
        <v>16</v>
      </c>
      <c r="C12" s="5" t="s">
        <v>63</v>
      </c>
    </row>
    <row r="13" spans="1:3" ht="15.75" thickBot="1">
      <c r="A13" s="3" t="s">
        <v>12</v>
      </c>
      <c r="B13" s="3" t="s">
        <v>16</v>
      </c>
    </row>
    <row r="14" spans="1:3" ht="15.75" thickBot="1">
      <c r="A14" s="3" t="s">
        <v>13</v>
      </c>
      <c r="B14" s="3" t="s">
        <v>17</v>
      </c>
    </row>
    <row r="15" spans="1:3" ht="15.75" thickBot="1">
      <c r="A15" s="3" t="s">
        <v>14</v>
      </c>
      <c r="B15" s="3" t="s">
        <v>17</v>
      </c>
    </row>
    <row r="17" spans="1:3" ht="15.75" thickBot="1">
      <c r="A17" s="1" t="s">
        <v>21</v>
      </c>
    </row>
    <row r="18" spans="1:3" ht="15.75" thickBot="1">
      <c r="A18" s="2" t="s">
        <v>82</v>
      </c>
      <c r="B18" s="5" t="s">
        <v>114</v>
      </c>
      <c r="C18" s="5" t="s">
        <v>112</v>
      </c>
    </row>
    <row r="19" spans="1:3" ht="15.75" thickBot="1">
      <c r="A19" s="3" t="s">
        <v>30</v>
      </c>
      <c r="B19" s="6" t="s">
        <v>113</v>
      </c>
      <c r="C19" s="5" t="s">
        <v>113</v>
      </c>
    </row>
    <row r="20" spans="1:3" ht="15.75" thickBot="1">
      <c r="A20" s="2" t="s">
        <v>83</v>
      </c>
      <c r="B20" s="5" t="s">
        <v>114</v>
      </c>
      <c r="C20" s="5" t="s">
        <v>114</v>
      </c>
    </row>
    <row r="21" spans="1:3" ht="15.75" thickBot="1">
      <c r="A21" s="3" t="s">
        <v>84</v>
      </c>
      <c r="B21" s="6" t="s">
        <v>114</v>
      </c>
      <c r="C21" s="5" t="s">
        <v>115</v>
      </c>
    </row>
    <row r="22" spans="1:3" ht="15.75" thickBot="1">
      <c r="A22" s="3" t="s">
        <v>40</v>
      </c>
      <c r="B22" s="6" t="s">
        <v>115</v>
      </c>
      <c r="C22" s="65" t="s">
        <v>116</v>
      </c>
    </row>
    <row r="23" spans="1:3" ht="15.75" thickBot="1">
      <c r="A23" s="3" t="s">
        <v>27</v>
      </c>
      <c r="B23" s="6" t="s">
        <v>113</v>
      </c>
      <c r="C23" s="5" t="s">
        <v>63</v>
      </c>
    </row>
    <row r="24" spans="1:3" ht="15.75" thickBot="1">
      <c r="A24" s="3" t="s">
        <v>41</v>
      </c>
      <c r="B24" s="6" t="s">
        <v>115</v>
      </c>
    </row>
    <row r="25" spans="1:3" ht="15.75" thickBot="1">
      <c r="A25" s="3" t="s">
        <v>35</v>
      </c>
      <c r="B25" s="6" t="s">
        <v>114</v>
      </c>
    </row>
    <row r="26" spans="1:3" ht="15.75" thickBot="1">
      <c r="A26" s="3" t="s">
        <v>37</v>
      </c>
      <c r="B26" s="6" t="s">
        <v>114</v>
      </c>
    </row>
    <row r="27" spans="1:3" ht="15.75" thickBot="1">
      <c r="A27" s="3" t="s">
        <v>22</v>
      </c>
      <c r="B27" s="6" t="s">
        <v>112</v>
      </c>
    </row>
    <row r="28" spans="1:3" ht="15.75" thickBot="1">
      <c r="A28" s="2" t="s">
        <v>23</v>
      </c>
      <c r="B28" s="5" t="s">
        <v>112</v>
      </c>
    </row>
    <row r="29" spans="1:3" ht="15.75" thickBot="1">
      <c r="A29" s="3" t="s">
        <v>86</v>
      </c>
      <c r="B29" s="6" t="s">
        <v>114</v>
      </c>
    </row>
    <row r="30" spans="1:3" ht="15.75" thickBot="1">
      <c r="A30" s="3" t="s">
        <v>38</v>
      </c>
      <c r="B30" s="6" t="s">
        <v>115</v>
      </c>
    </row>
    <row r="31" spans="1:3" ht="15.75" thickBot="1">
      <c r="A31" s="3" t="s">
        <v>85</v>
      </c>
      <c r="B31" s="6" t="s">
        <v>113</v>
      </c>
    </row>
    <row r="32" spans="1:3" ht="15.75" thickBot="1">
      <c r="A32" s="3" t="s">
        <v>29</v>
      </c>
      <c r="B32" s="6" t="s">
        <v>113</v>
      </c>
    </row>
    <row r="33" spans="1:3" ht="15.75" thickBot="1">
      <c r="A33" s="3" t="s">
        <v>24</v>
      </c>
      <c r="B33" s="6" t="s">
        <v>113</v>
      </c>
    </row>
    <row r="34" spans="1:3" ht="15.75" thickBot="1">
      <c r="A34" s="2" t="s">
        <v>25</v>
      </c>
      <c r="B34" s="5" t="s">
        <v>113</v>
      </c>
    </row>
    <row r="35" spans="1:3" ht="15.75" thickBot="1">
      <c r="A35" s="3" t="s">
        <v>28</v>
      </c>
      <c r="B35" s="6" t="s">
        <v>113</v>
      </c>
    </row>
    <row r="36" spans="1:3" ht="15.75" thickBot="1">
      <c r="A36" s="3" t="s">
        <v>26</v>
      </c>
      <c r="B36" s="6" t="s">
        <v>113</v>
      </c>
    </row>
    <row r="37" spans="1:3" ht="15.75" thickBot="1">
      <c r="A37" s="3" t="s">
        <v>53</v>
      </c>
      <c r="B37" s="9" t="s">
        <v>116</v>
      </c>
    </row>
    <row r="40" spans="1:3" ht="15.75" thickBot="1">
      <c r="A40" s="1" t="s">
        <v>42</v>
      </c>
    </row>
    <row r="41" spans="1:3" ht="15.75" thickBot="1">
      <c r="A41" s="2" t="s">
        <v>31</v>
      </c>
      <c r="B41" s="5" t="s">
        <v>32</v>
      </c>
      <c r="C41" s="5" t="s">
        <v>114</v>
      </c>
    </row>
    <row r="42" spans="1:3" ht="15.75" thickBot="1">
      <c r="A42" s="3" t="s">
        <v>33</v>
      </c>
      <c r="B42" s="6" t="s">
        <v>32</v>
      </c>
      <c r="C42" s="5" t="s">
        <v>115</v>
      </c>
    </row>
    <row r="43" spans="1:3" ht="15.75" thickBot="1">
      <c r="A43" s="3" t="s">
        <v>34</v>
      </c>
      <c r="B43" s="6" t="s">
        <v>32</v>
      </c>
      <c r="C43" s="6" t="s">
        <v>43</v>
      </c>
    </row>
    <row r="44" spans="1:3" ht="15.75" thickBot="1">
      <c r="A44" s="3" t="s">
        <v>35</v>
      </c>
      <c r="B44" s="6" t="s">
        <v>32</v>
      </c>
      <c r="C44" s="6" t="s">
        <v>44</v>
      </c>
    </row>
    <row r="45" spans="1:3" ht="15.75" thickBot="1">
      <c r="A45" s="3" t="s">
        <v>36</v>
      </c>
      <c r="B45" s="6" t="s">
        <v>32</v>
      </c>
      <c r="C45" s="64" t="s">
        <v>116</v>
      </c>
    </row>
    <row r="46" spans="1:3" ht="15.75" thickBot="1">
      <c r="A46" s="3" t="s">
        <v>37</v>
      </c>
      <c r="B46" s="6" t="s">
        <v>32</v>
      </c>
      <c r="C46" s="6" t="s">
        <v>63</v>
      </c>
    </row>
    <row r="47" spans="1:3" ht="15.75" thickBot="1">
      <c r="A47" s="2" t="s">
        <v>38</v>
      </c>
      <c r="B47" s="5" t="s">
        <v>39</v>
      </c>
    </row>
    <row r="48" spans="1:3" ht="15.75" thickBot="1">
      <c r="A48" s="3" t="s">
        <v>40</v>
      </c>
      <c r="B48" s="6" t="s">
        <v>39</v>
      </c>
    </row>
    <row r="49" spans="1:3" ht="15.75" thickBot="1">
      <c r="A49" s="3" t="s">
        <v>41</v>
      </c>
      <c r="B49" s="6" t="s">
        <v>39</v>
      </c>
    </row>
    <row r="50" spans="1:3" ht="15.75" thickBot="1">
      <c r="A50" s="2" t="s">
        <v>87</v>
      </c>
      <c r="B50" s="5" t="s">
        <v>43</v>
      </c>
    </row>
    <row r="51" spans="1:3" ht="15.75" thickBot="1">
      <c r="A51" s="3" t="s">
        <v>88</v>
      </c>
      <c r="B51" s="6" t="s">
        <v>44</v>
      </c>
    </row>
    <row r="52" spans="1:3" ht="15.75" thickBot="1">
      <c r="A52" s="7" t="s">
        <v>45</v>
      </c>
      <c r="B52" s="6" t="s">
        <v>39</v>
      </c>
    </row>
    <row r="53" spans="1:3" ht="15.75" thickBot="1">
      <c r="A53" s="7" t="s">
        <v>46</v>
      </c>
      <c r="B53" s="6" t="s">
        <v>44</v>
      </c>
    </row>
    <row r="54" spans="1:3" ht="15.75" thickBot="1">
      <c r="A54" s="7" t="s">
        <v>47</v>
      </c>
      <c r="B54" s="6" t="s">
        <v>48</v>
      </c>
    </row>
    <row r="55" spans="1:3" ht="15.75" thickBot="1">
      <c r="A55" s="8" t="s">
        <v>49</v>
      </c>
      <c r="B55" s="6" t="s">
        <v>63</v>
      </c>
      <c r="C55" t="s">
        <v>89</v>
      </c>
    </row>
    <row r="56" spans="1:3" ht="15.75" thickBot="1">
      <c r="A56" s="7" t="s">
        <v>51</v>
      </c>
      <c r="B56" s="6" t="s">
        <v>50</v>
      </c>
    </row>
    <row r="59" spans="1:3">
      <c r="B59" s="1" t="s">
        <v>52</v>
      </c>
    </row>
    <row r="60" spans="1:3">
      <c r="B60" t="s">
        <v>98</v>
      </c>
    </row>
    <row r="61" spans="1:3">
      <c r="B61" t="s">
        <v>99</v>
      </c>
    </row>
    <row r="62" spans="1:3">
      <c r="B62">
        <v>5</v>
      </c>
    </row>
    <row r="63" spans="1:3">
      <c r="B63">
        <v>6</v>
      </c>
    </row>
    <row r="64" spans="1:3">
      <c r="B64">
        <v>7</v>
      </c>
    </row>
    <row r="65" spans="2:2">
      <c r="B65">
        <v>8</v>
      </c>
    </row>
    <row r="66" spans="2:2">
      <c r="B66">
        <v>9</v>
      </c>
    </row>
    <row r="67" spans="2:2">
      <c r="B67">
        <v>10</v>
      </c>
    </row>
    <row r="68" spans="2:2">
      <c r="B68">
        <v>11</v>
      </c>
    </row>
    <row r="69" spans="2:2">
      <c r="B69">
        <v>12</v>
      </c>
    </row>
    <row r="70" spans="2:2">
      <c r="B70">
        <v>13</v>
      </c>
    </row>
    <row r="71" spans="2:2">
      <c r="B71">
        <v>14</v>
      </c>
    </row>
  </sheetData>
  <sortState ref="A20:B38">
    <sortCondition ref="A20:A38"/>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7">
    <tabColor rgb="FFFFFFCC"/>
    <pageSetUpPr fitToPage="1"/>
  </sheetPr>
  <dimension ref="A1:C29"/>
  <sheetViews>
    <sheetView workbookViewId="0">
      <selection activeCell="B34" sqref="B33:B34"/>
    </sheetView>
  </sheetViews>
  <sheetFormatPr defaultRowHeight="15"/>
  <cols>
    <col min="1" max="1" width="84.5703125" customWidth="1"/>
    <col min="2" max="2" width="62.140625" customWidth="1"/>
  </cols>
  <sheetData>
    <row r="1" spans="1:3" ht="25.5" customHeight="1">
      <c r="A1" s="521" t="s">
        <v>184</v>
      </c>
      <c r="B1" s="43" t="str">
        <f>+IF(AND(B5="",B6="",B7="",B11="",B13="",B14="",B15="",B16="",B19="",B20="",B21="",B22="",B25=""), "Nessun Errore Rilevato nell'intera Dichiarazione", "")</f>
        <v/>
      </c>
    </row>
    <row r="2" spans="1:3" ht="25.5" customHeight="1">
      <c r="A2" s="522"/>
      <c r="B2" s="44" t="str">
        <f>+IF(AND(A3="", B5="",B6="",B7="",B11="",B13="",B14="",B15="",B16="",B19="",B20="",B21="",B22="",B25=""), "", "SONO PRESENTI ERRORI")</f>
        <v>SONO PRESENTI ERRORI</v>
      </c>
    </row>
    <row r="3" spans="1:3" ht="51" customHeight="1">
      <c r="A3" s="523" t="str">
        <f>+IF(OR('Dichiarazione Titoli di Studio'!B19&lt;&gt;"", 'Dichiarazione Esami Sostenuti'!A19:F19&lt;&gt;"",'Dichiarazione Esami Sostenuti'!A41&lt;&gt;"",'Dichiarazione Esami Sostenuti'!A63&lt;&gt;"",'Dichiarazione Esami Sostenuti'!A85&lt;&gt;""  ), "ATTENZIONE  SI STA COMPILANDO LA RICHESTA CON UNA VERSIONE NON CORRETTA DI EXCEL - Controllare i requisiti di sistema come da specifica o contattare didattica.scienze@uniss.it","")</f>
        <v/>
      </c>
      <c r="B3" s="524"/>
    </row>
    <row r="4" spans="1:3" ht="25.5" customHeight="1">
      <c r="A4" s="45" t="s">
        <v>103</v>
      </c>
      <c r="B4" s="46"/>
    </row>
    <row r="5" spans="1:3">
      <c r="A5" s="47" t="s">
        <v>118</v>
      </c>
      <c r="B5" s="48" t="str">
        <f>+IF(OR('Dati Anagrafici'!L18:L18&lt;&gt;"",'Dati Anagrafici'!L19:L19&lt;&gt;"",'Dati Anagrafici'!L20:L20&lt;&gt;""),"indirizzo Email non valido","")</f>
        <v/>
      </c>
    </row>
    <row r="6" spans="1:3">
      <c r="A6" s="47" t="s">
        <v>119</v>
      </c>
      <c r="B6" s="48" t="str">
        <f>+IF('Dati Anagrafici'!C24&lt;&gt;"","Codice Fiscale non corretto","")</f>
        <v/>
      </c>
    </row>
    <row r="7" spans="1:3">
      <c r="A7" s="47" t="s">
        <v>120</v>
      </c>
      <c r="B7" s="49" t="str">
        <f>+IF(OR( 'Dati Anagrafici'!C24&lt;&gt;"", 'Dati Anagrafici'!C25&lt;&gt;"", 'Dati Anagrafici'!C26&lt;&gt;""),"Errore:  Dati Anagrafici incompleti o con errori","")</f>
        <v>Errore:  Dati Anagrafici incompleti o con errori</v>
      </c>
    </row>
    <row r="10" spans="1:3" ht="15.75">
      <c r="A10" s="45" t="s">
        <v>104</v>
      </c>
      <c r="B10" s="50" t="str">
        <f>+IF(AND(B11="",B13="",B14="", B15="", B16="",B19="",B20="",B22=""), "Nessun errore rilevato per i Titoli e gli Esami dichiarati", "")</f>
        <v>Nessun errore rilevato per i Titoli e gli Esami dichiarati</v>
      </c>
    </row>
    <row r="11" spans="1:3">
      <c r="A11" s="47" t="s">
        <v>107</v>
      </c>
      <c r="B11" s="274" t="str">
        <f>+IF(AND('Dichiarazione Titoli di Studio'!E10="",'Dichiarazione Titoli di Studio'!E12="",'Dichiarazione Titoli di Studio'!E13="",'Dichiarazione Titoli di Studio'!E14="",'Dichiarazione Titoli di Studio'!E17="",'Dichiarazione Titoli di Studio'!E18=""),"","Errori rilevati nelle dichiarazioni dei titoli di studio")</f>
        <v/>
      </c>
    </row>
    <row r="12" spans="1:3">
      <c r="A12" s="47"/>
      <c r="B12" s="52"/>
    </row>
    <row r="13" spans="1:3">
      <c r="A13" s="47" t="s">
        <v>108</v>
      </c>
      <c r="B13" s="51" t="str">
        <f>+'Dichiarazione Esami Sostenuti'!C113</f>
        <v/>
      </c>
      <c r="C13" t="str">
        <f>+IF(AND('Dich Titoli (Vecchio) '!J16="",'Dich Titoli (Vecchio) '!J17="",'Dich Titoli (Vecchio) '!L16=""),"","Errore in dichiarazione Titolo1")</f>
        <v/>
      </c>
    </row>
    <row r="14" spans="1:3">
      <c r="A14" s="47" t="s">
        <v>109</v>
      </c>
      <c r="B14" s="51" t="str">
        <f>+'Dichiarazione Esami Sostenuti'!C114</f>
        <v/>
      </c>
    </row>
    <row r="15" spans="1:3">
      <c r="A15" s="47" t="s">
        <v>110</v>
      </c>
      <c r="B15" s="51" t="str">
        <f>+'Dichiarazione Esami Sostenuti'!C115</f>
        <v/>
      </c>
    </row>
    <row r="16" spans="1:3">
      <c r="A16" s="47" t="s">
        <v>111</v>
      </c>
      <c r="B16" s="51" t="str">
        <f>+'Dichiarazione Esami Sostenuti'!C116</f>
        <v/>
      </c>
    </row>
    <row r="17" spans="1:2" ht="15" customHeight="1">
      <c r="A17" s="47" t="s">
        <v>137</v>
      </c>
      <c r="B17" s="51" t="str">
        <f>+IF('Dichiarazione Esami Sostenuti'!B95&lt;&gt;"","Errore!: Esame ripetuto due volte negli ambiti A e D ","")</f>
        <v/>
      </c>
    </row>
    <row r="18" spans="1:2" ht="31.5" customHeight="1">
      <c r="A18" s="47" t="s">
        <v>310</v>
      </c>
      <c r="B18" s="329" t="str">
        <f>+IF('Dichiarazione Esami Sostenuti'!C102&lt;&gt;"", "Errore!: Per  poter richiedere il riconoscimento di tutti i 24 CFU l'ultimo esame deve essere conseguito a Sassari","")</f>
        <v/>
      </c>
    </row>
    <row r="19" spans="1:2">
      <c r="A19" s="47" t="s">
        <v>210</v>
      </c>
      <c r="B19" s="51" t="str">
        <f>+IF( 'Dichiarazione Esami Sostenuti'!C103&lt;&gt;"","Errore!: Inserire Esami per  24 CFU riconoscibili, e non oltre.","")</f>
        <v/>
      </c>
    </row>
    <row r="20" spans="1:2">
      <c r="A20" s="53" t="s">
        <v>312</v>
      </c>
      <c r="B20" s="51" t="str">
        <f>+IF('Dichiarazione Esami Sostenuti'!C106&lt;&gt;"","Errore!: Inserire Esami  in  almeno 3 ambiti su 4","")</f>
        <v/>
      </c>
    </row>
    <row r="21" spans="1:2">
      <c r="A21" s="53" t="s">
        <v>205</v>
      </c>
      <c r="B21" s="51" t="str">
        <f>+IF('Dichiarazione Esami Sostenuti'!C109&lt;&gt;"","Errore!: Inserire Esami per 12 CFU in un solo ambito","")</f>
        <v/>
      </c>
    </row>
    <row r="22" spans="1:2">
      <c r="A22" s="47" t="s">
        <v>117</v>
      </c>
      <c r="B22" s="51" t="str">
        <f>+IF('Dichiarazione Esami Sostenuti'!C111&lt;&gt;"","Errore!: Eccessivo numero di CFU in modalità Teledidattica","")</f>
        <v/>
      </c>
    </row>
    <row r="24" spans="1:2" ht="15.75">
      <c r="A24" s="45" t="s">
        <v>216</v>
      </c>
      <c r="B24" s="51"/>
    </row>
    <row r="25" spans="1:2">
      <c r="A25" s="47" t="s">
        <v>217</v>
      </c>
      <c r="B25" s="51" t="str">
        <f>+IF('Sezione Finale'!D12&lt;&gt;"","Deve essere inserita la data di presentazione della dichiarazione!","")</f>
        <v>Deve essere inserita la data di presentazione della dichiarazione!</v>
      </c>
    </row>
    <row r="26" spans="1:2">
      <c r="A26" s="10"/>
    </row>
    <row r="27" spans="1:2">
      <c r="A27" s="10"/>
    </row>
    <row r="28" spans="1:2">
      <c r="A28" s="10"/>
    </row>
    <row r="29" spans="1:2">
      <c r="A29" s="10"/>
    </row>
  </sheetData>
  <sheetProtection algorithmName="SHA-512" hashValue="elAYkr8HcUH3iwUlhwpPxeDbfQCEBQrzsXutLOKdnhCXr8QhWXjKnN1nCEWpsvpB3taWLXmsg+FQNmhtzHHDOA==" saltValue="GG90zy39ToRKfg4I6EWIBg==" spinCount="100000" sheet="1" selectLockedCells="1" selectUnlockedCells="1"/>
  <mergeCells count="2">
    <mergeCell ref="A1:A2"/>
    <mergeCell ref="A3:B3"/>
  </mergeCells>
  <pageMargins left="0.70866141732283472" right="0.70866141732283472" top="0.74803149606299213" bottom="0.74803149606299213" header="0.31496062992125984" footer="0.31496062992125984"/>
  <pageSetup paperSize="9" scale="89" orientation="landscape" r:id="rId1"/>
  <headerFooter>
    <oddFooter>&amp;L&amp;F&amp;C&amp;P di &amp;N&amp;R&amp;A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8"/>
  <dimension ref="D7:H7"/>
  <sheetViews>
    <sheetView workbookViewId="0">
      <selection activeCell="D12" sqref="D12"/>
    </sheetView>
  </sheetViews>
  <sheetFormatPr defaultRowHeight="15"/>
  <cols>
    <col min="4" max="4" width="24.7109375" customWidth="1"/>
  </cols>
  <sheetData>
    <row r="7" spans="4:8">
      <c r="D7" s="392"/>
      <c r="E7" s="392"/>
      <c r="F7" s="392"/>
      <c r="G7" s="392"/>
      <c r="H7" s="392"/>
    </row>
  </sheetData>
  <mergeCells count="1">
    <mergeCell ref="D7:H7"/>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'CFU associabili'!$A$2:$A$6</xm:f>
          </x14:formula1>
          <xm:sqref>D12</xm:sqref>
        </x14:dataValidation>
        <x14:dataValidation type="list" allowBlank="1" showInputMessage="1" showErrorMessage="1" xr:uid="{00000000-0002-0000-0A00-000001000000}">
          <x14:formula1>
            <xm:f>'Dati Studi Universitari'!$C$13:$C$20</xm:f>
          </x14:formula1>
          <xm:sqref>D7:H7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9">
    <tabColor rgb="FFFFFFCC"/>
    <pageSetUpPr fitToPage="1"/>
  </sheetPr>
  <dimension ref="A1:R31"/>
  <sheetViews>
    <sheetView topLeftCell="A10" zoomScale="85" zoomScaleNormal="85" workbookViewId="0">
      <selection activeCell="G49" sqref="G49"/>
    </sheetView>
  </sheetViews>
  <sheetFormatPr defaultRowHeight="15"/>
  <sheetData>
    <row r="1" spans="1:18" ht="21">
      <c r="A1" s="324" t="s">
        <v>139</v>
      </c>
    </row>
    <row r="3" spans="1:18" ht="15.75">
      <c r="A3" s="321" t="s">
        <v>140</v>
      </c>
    </row>
    <row r="4" spans="1:18" ht="30.75" customHeight="1">
      <c r="B4" s="42">
        <v>1</v>
      </c>
      <c r="C4" s="525" t="s">
        <v>220</v>
      </c>
      <c r="D4" s="525"/>
      <c r="E4" s="525"/>
      <c r="F4" s="525"/>
      <c r="G4" s="525"/>
      <c r="H4" s="525"/>
      <c r="I4" s="525"/>
      <c r="J4" s="525"/>
      <c r="K4" s="525"/>
      <c r="L4" s="525"/>
      <c r="M4" s="525"/>
      <c r="N4" s="525"/>
      <c r="O4" s="525"/>
      <c r="P4" s="525"/>
      <c r="Q4" s="525"/>
      <c r="R4" s="525"/>
    </row>
    <row r="5" spans="1:18" ht="15.75">
      <c r="B5" s="42"/>
      <c r="C5" s="317"/>
      <c r="D5" s="317"/>
      <c r="E5" s="317"/>
      <c r="F5" s="317"/>
      <c r="G5" s="317"/>
      <c r="H5" s="317"/>
      <c r="I5" s="317"/>
      <c r="J5" s="317"/>
      <c r="K5" s="317"/>
      <c r="L5" s="317"/>
      <c r="M5" s="317"/>
      <c r="N5" s="317"/>
      <c r="O5" s="317"/>
      <c r="P5" s="317"/>
      <c r="Q5" s="317"/>
      <c r="R5" s="317"/>
    </row>
    <row r="6" spans="1:18" s="316" customFormat="1" ht="15.75">
      <c r="A6" s="322" t="s">
        <v>238</v>
      </c>
      <c r="C6" s="318"/>
      <c r="D6" s="318"/>
      <c r="E6" s="318"/>
      <c r="F6" s="318"/>
      <c r="G6" s="318"/>
      <c r="H6" s="318"/>
      <c r="I6" s="318"/>
      <c r="J6" s="318"/>
      <c r="K6" s="318"/>
      <c r="L6" s="318"/>
      <c r="M6" s="318"/>
      <c r="N6" s="318"/>
      <c r="O6" s="318"/>
      <c r="P6" s="318"/>
      <c r="Q6" s="318"/>
      <c r="R6" s="318"/>
    </row>
    <row r="7" spans="1:18" s="140" customFormat="1" ht="30.75" customHeight="1">
      <c r="B7" s="42">
        <v>2</v>
      </c>
      <c r="C7" s="525" t="s">
        <v>241</v>
      </c>
      <c r="D7" s="525"/>
      <c r="E7" s="525"/>
      <c r="F7" s="525"/>
      <c r="G7" s="525"/>
      <c r="H7" s="525"/>
      <c r="I7" s="525"/>
      <c r="J7" s="525"/>
      <c r="K7" s="525"/>
      <c r="L7" s="525"/>
      <c r="M7" s="525"/>
      <c r="N7" s="525"/>
      <c r="O7" s="525"/>
      <c r="P7" s="525"/>
      <c r="Q7" s="525"/>
      <c r="R7" s="525"/>
    </row>
    <row r="8" spans="1:18" s="140" customFormat="1" ht="30.75" customHeight="1">
      <c r="B8" s="42">
        <v>3</v>
      </c>
      <c r="C8" s="525" t="s">
        <v>148</v>
      </c>
      <c r="D8" s="525"/>
      <c r="E8" s="525"/>
      <c r="F8" s="525"/>
      <c r="G8" s="525"/>
      <c r="H8" s="525"/>
      <c r="I8" s="525"/>
      <c r="J8" s="525"/>
      <c r="K8" s="525"/>
      <c r="L8" s="525"/>
      <c r="M8" s="525"/>
      <c r="N8" s="525"/>
      <c r="O8" s="525"/>
      <c r="P8" s="525"/>
      <c r="Q8" s="525"/>
      <c r="R8" s="525"/>
    </row>
    <row r="9" spans="1:18" s="140" customFormat="1" ht="30.75" customHeight="1">
      <c r="B9" s="42">
        <v>4</v>
      </c>
      <c r="C9" s="525" t="s">
        <v>127</v>
      </c>
      <c r="D9" s="525"/>
      <c r="E9" s="525"/>
      <c r="F9" s="525"/>
      <c r="G9" s="525"/>
      <c r="H9" s="525"/>
      <c r="I9" s="525"/>
      <c r="J9" s="525"/>
      <c r="K9" s="525"/>
      <c r="L9" s="525"/>
      <c r="M9" s="525"/>
      <c r="N9" s="525"/>
      <c r="O9" s="525"/>
      <c r="P9" s="525"/>
      <c r="Q9" s="525"/>
      <c r="R9" s="525"/>
    </row>
    <row r="10" spans="1:18" s="140" customFormat="1" ht="30.75" customHeight="1">
      <c r="B10" s="42">
        <v>5</v>
      </c>
      <c r="C10" s="320" t="s">
        <v>136</v>
      </c>
      <c r="D10" s="320"/>
      <c r="E10" s="320"/>
      <c r="F10" s="320"/>
      <c r="G10" s="320"/>
      <c r="H10" s="320"/>
      <c r="I10" s="320"/>
      <c r="J10" s="320"/>
      <c r="K10" s="320"/>
      <c r="L10" s="320"/>
      <c r="M10" s="320"/>
      <c r="N10" s="320"/>
      <c r="O10" s="320"/>
      <c r="P10" s="320"/>
      <c r="Q10" s="320"/>
      <c r="R10" s="320"/>
    </row>
    <row r="11" spans="1:18" ht="15.75">
      <c r="C11" s="319"/>
      <c r="D11" s="319"/>
      <c r="E11" s="319"/>
      <c r="F11" s="319"/>
      <c r="G11" s="319"/>
      <c r="H11" s="319"/>
      <c r="I11" s="319"/>
      <c r="J11" s="319"/>
      <c r="K11" s="319"/>
      <c r="L11" s="319"/>
      <c r="M11" s="319"/>
      <c r="N11" s="319"/>
      <c r="O11" s="319"/>
      <c r="P11" s="319"/>
      <c r="Q11" s="319"/>
      <c r="R11" s="319"/>
    </row>
    <row r="12" spans="1:18" ht="15.75">
      <c r="A12" s="322" t="s">
        <v>239</v>
      </c>
      <c r="C12" s="319"/>
      <c r="D12" s="319"/>
      <c r="E12" s="319"/>
      <c r="F12" s="319"/>
      <c r="G12" s="319"/>
      <c r="H12" s="319"/>
      <c r="I12" s="319"/>
      <c r="J12" s="319"/>
      <c r="K12" s="319"/>
      <c r="L12" s="319"/>
      <c r="M12" s="319"/>
      <c r="N12" s="319"/>
      <c r="O12" s="319"/>
      <c r="P12" s="319"/>
      <c r="Q12" s="319"/>
      <c r="R12" s="319"/>
    </row>
    <row r="13" spans="1:18" ht="48" customHeight="1">
      <c r="A13" s="148"/>
      <c r="B13" s="310">
        <v>6</v>
      </c>
      <c r="C13" s="525" t="s">
        <v>245</v>
      </c>
      <c r="D13" s="526"/>
      <c r="E13" s="526"/>
      <c r="F13" s="526"/>
      <c r="G13" s="526"/>
      <c r="H13" s="526"/>
      <c r="I13" s="526"/>
      <c r="J13" s="526"/>
      <c r="K13" s="526"/>
      <c r="L13" s="526"/>
      <c r="M13" s="526"/>
      <c r="N13" s="526"/>
      <c r="O13" s="526"/>
      <c r="P13" s="526"/>
      <c r="Q13" s="526"/>
      <c r="R13" s="526"/>
    </row>
    <row r="14" spans="1:18" ht="15.75">
      <c r="B14" s="323" t="s">
        <v>131</v>
      </c>
      <c r="C14" s="319"/>
      <c r="D14" s="319"/>
      <c r="E14" s="319"/>
      <c r="F14" s="319"/>
      <c r="G14" s="319"/>
      <c r="H14" s="319"/>
      <c r="I14" s="319"/>
      <c r="J14" s="319"/>
      <c r="K14" s="319"/>
      <c r="L14" s="319"/>
      <c r="M14" s="319"/>
      <c r="N14" s="319"/>
      <c r="O14" s="319"/>
      <c r="P14" s="319"/>
      <c r="Q14" s="319"/>
      <c r="R14" s="319"/>
    </row>
    <row r="15" spans="1:18" s="140" customFormat="1" ht="52.5" customHeight="1">
      <c r="B15" s="310">
        <v>7</v>
      </c>
      <c r="C15" s="525" t="s">
        <v>240</v>
      </c>
      <c r="D15" s="525"/>
      <c r="E15" s="525"/>
      <c r="F15" s="525"/>
      <c r="G15" s="525"/>
      <c r="H15" s="525"/>
      <c r="I15" s="525"/>
      <c r="J15" s="525"/>
      <c r="K15" s="525"/>
      <c r="L15" s="525"/>
      <c r="M15" s="525"/>
      <c r="N15" s="525"/>
      <c r="O15" s="525"/>
      <c r="P15" s="525"/>
      <c r="Q15" s="525"/>
      <c r="R15" s="525"/>
    </row>
    <row r="16" spans="1:18" s="140" customFormat="1" ht="29.25" customHeight="1">
      <c r="B16" s="310">
        <v>8</v>
      </c>
      <c r="C16" s="525" t="s">
        <v>233</v>
      </c>
      <c r="D16" s="525"/>
      <c r="E16" s="525"/>
      <c r="F16" s="525"/>
      <c r="G16" s="525"/>
      <c r="H16" s="525"/>
      <c r="I16" s="525"/>
      <c r="J16" s="525"/>
      <c r="K16" s="525"/>
      <c r="L16" s="525"/>
      <c r="M16" s="525"/>
      <c r="N16" s="525"/>
      <c r="O16" s="525"/>
      <c r="P16" s="525"/>
      <c r="Q16" s="525"/>
      <c r="R16" s="525"/>
    </row>
    <row r="17" spans="1:18" s="140" customFormat="1" ht="29.25" customHeight="1">
      <c r="B17" s="310">
        <v>9</v>
      </c>
      <c r="C17" s="525" t="s">
        <v>322</v>
      </c>
      <c r="D17" s="525"/>
      <c r="E17" s="525"/>
      <c r="F17" s="525"/>
      <c r="G17" s="525"/>
      <c r="H17" s="525"/>
      <c r="I17" s="525"/>
      <c r="J17" s="525"/>
      <c r="K17" s="525"/>
      <c r="L17" s="525"/>
      <c r="M17" s="525"/>
      <c r="N17" s="525"/>
      <c r="O17" s="525"/>
      <c r="P17" s="525"/>
      <c r="Q17" s="525"/>
      <c r="R17" s="525"/>
    </row>
    <row r="18" spans="1:18" s="140" customFormat="1" ht="29.25" customHeight="1">
      <c r="B18" s="310">
        <v>10</v>
      </c>
      <c r="C18" s="525" t="s">
        <v>134</v>
      </c>
      <c r="D18" s="525"/>
      <c r="E18" s="525"/>
      <c r="F18" s="525"/>
      <c r="G18" s="525"/>
      <c r="H18" s="525"/>
      <c r="I18" s="525"/>
      <c r="J18" s="525"/>
      <c r="K18" s="525"/>
      <c r="L18" s="525"/>
      <c r="M18" s="525"/>
      <c r="N18" s="525"/>
      <c r="O18" s="525"/>
      <c r="P18" s="525"/>
      <c r="Q18" s="525"/>
      <c r="R18" s="525"/>
    </row>
    <row r="19" spans="1:18" s="140" customFormat="1" ht="57" customHeight="1">
      <c r="B19" s="310">
        <v>11</v>
      </c>
      <c r="C19" s="525" t="s">
        <v>242</v>
      </c>
      <c r="D19" s="525"/>
      <c r="E19" s="525"/>
      <c r="F19" s="525"/>
      <c r="G19" s="525"/>
      <c r="H19" s="525"/>
      <c r="I19" s="525"/>
      <c r="J19" s="525"/>
      <c r="K19" s="525"/>
      <c r="L19" s="525"/>
      <c r="M19" s="525"/>
      <c r="N19" s="525"/>
      <c r="O19" s="525"/>
      <c r="P19" s="525"/>
      <c r="Q19" s="525"/>
      <c r="R19" s="525"/>
    </row>
    <row r="20" spans="1:18" s="140" customFormat="1" ht="37.5" customHeight="1">
      <c r="B20" s="310">
        <v>12</v>
      </c>
      <c r="C20" s="525" t="s">
        <v>234</v>
      </c>
      <c r="D20" s="525"/>
      <c r="E20" s="525"/>
      <c r="F20" s="525"/>
      <c r="G20" s="525"/>
      <c r="H20" s="525"/>
      <c r="I20" s="525"/>
      <c r="J20" s="525"/>
      <c r="K20" s="525"/>
      <c r="L20" s="525"/>
      <c r="M20" s="525"/>
      <c r="N20" s="525"/>
      <c r="O20" s="525"/>
      <c r="P20" s="525"/>
      <c r="Q20" s="525"/>
      <c r="R20" s="525"/>
    </row>
    <row r="21" spans="1:18" s="140" customFormat="1" ht="57" customHeight="1">
      <c r="B21" s="310">
        <v>13</v>
      </c>
      <c r="C21" s="525" t="s">
        <v>232</v>
      </c>
      <c r="D21" s="525"/>
      <c r="E21" s="525"/>
      <c r="F21" s="525"/>
      <c r="G21" s="525"/>
      <c r="H21" s="525"/>
      <c r="I21" s="525"/>
      <c r="J21" s="525"/>
      <c r="K21" s="525"/>
      <c r="L21" s="525"/>
      <c r="M21" s="525"/>
      <c r="N21" s="525"/>
      <c r="O21" s="525"/>
      <c r="P21" s="525"/>
      <c r="Q21" s="525"/>
      <c r="R21" s="525"/>
    </row>
    <row r="22" spans="1:18" s="308" customFormat="1" ht="30.75" customHeight="1">
      <c r="B22" s="309">
        <v>14</v>
      </c>
      <c r="C22" s="525" t="s">
        <v>323</v>
      </c>
      <c r="D22" s="525"/>
      <c r="E22" s="525"/>
      <c r="F22" s="525"/>
      <c r="G22" s="525"/>
      <c r="H22" s="525"/>
      <c r="I22" s="525"/>
      <c r="J22" s="525"/>
      <c r="K22" s="525"/>
      <c r="L22" s="525"/>
      <c r="M22" s="525"/>
      <c r="N22" s="525"/>
      <c r="O22" s="525"/>
      <c r="P22" s="525"/>
      <c r="Q22" s="525"/>
      <c r="R22" s="525"/>
    </row>
    <row r="23" spans="1:18" ht="15.75">
      <c r="B23" s="323" t="s">
        <v>132</v>
      </c>
      <c r="C23" s="319"/>
      <c r="D23" s="319"/>
      <c r="E23" s="319"/>
      <c r="F23" s="319"/>
      <c r="G23" s="319"/>
      <c r="H23" s="319"/>
      <c r="I23" s="319"/>
      <c r="J23" s="319"/>
      <c r="K23" s="319"/>
      <c r="L23" s="319"/>
      <c r="M23" s="319"/>
      <c r="N23" s="319"/>
      <c r="O23" s="319"/>
      <c r="P23" s="319"/>
      <c r="Q23" s="319"/>
      <c r="R23" s="319"/>
    </row>
    <row r="24" spans="1:18" ht="25.5" customHeight="1">
      <c r="B24" s="310">
        <v>15</v>
      </c>
      <c r="C24" s="525" t="s">
        <v>133</v>
      </c>
      <c r="D24" s="525"/>
      <c r="E24" s="525"/>
      <c r="F24" s="525"/>
      <c r="G24" s="525"/>
      <c r="H24" s="525"/>
      <c r="I24" s="525"/>
      <c r="J24" s="525"/>
      <c r="K24" s="525"/>
      <c r="L24" s="525"/>
      <c r="M24" s="525"/>
      <c r="N24" s="525"/>
      <c r="O24" s="525"/>
      <c r="P24" s="525"/>
      <c r="Q24" s="525"/>
      <c r="R24" s="525"/>
    </row>
    <row r="25" spans="1:18" s="140" customFormat="1" ht="37.5" customHeight="1">
      <c r="B25" s="310">
        <v>16</v>
      </c>
      <c r="C25" s="525" t="s">
        <v>235</v>
      </c>
      <c r="D25" s="525"/>
      <c r="E25" s="525"/>
      <c r="F25" s="525"/>
      <c r="G25" s="525"/>
      <c r="H25" s="525"/>
      <c r="I25" s="525"/>
      <c r="J25" s="525"/>
      <c r="K25" s="525"/>
      <c r="L25" s="525"/>
      <c r="M25" s="525"/>
      <c r="N25" s="525"/>
      <c r="O25" s="525"/>
      <c r="P25" s="525"/>
      <c r="Q25" s="525"/>
      <c r="R25" s="525"/>
    </row>
    <row r="26" spans="1:18" ht="15.75">
      <c r="C26" s="319"/>
      <c r="D26" s="319"/>
      <c r="E26" s="319"/>
      <c r="F26" s="319"/>
      <c r="G26" s="319"/>
      <c r="H26" s="319"/>
      <c r="I26" s="319"/>
      <c r="J26" s="319"/>
      <c r="K26" s="319"/>
      <c r="L26" s="319"/>
      <c r="M26" s="319"/>
      <c r="N26" s="319"/>
      <c r="O26" s="319"/>
      <c r="P26" s="319"/>
      <c r="Q26" s="319"/>
      <c r="R26" s="319"/>
    </row>
    <row r="27" spans="1:18" ht="21">
      <c r="A27" s="325" t="s">
        <v>141</v>
      </c>
      <c r="C27" s="319"/>
      <c r="D27" s="319"/>
      <c r="E27" s="319"/>
      <c r="F27" s="319"/>
      <c r="G27" s="319"/>
      <c r="H27" s="319"/>
      <c r="I27" s="319"/>
      <c r="J27" s="319"/>
      <c r="K27" s="319"/>
      <c r="L27" s="319"/>
      <c r="M27" s="319"/>
      <c r="N27" s="319"/>
      <c r="O27" s="319"/>
      <c r="P27" s="319"/>
      <c r="Q27" s="319"/>
      <c r="R27" s="319"/>
    </row>
    <row r="28" spans="1:18" ht="15.75">
      <c r="C28" s="319"/>
      <c r="D28" s="319"/>
      <c r="E28" s="319"/>
      <c r="F28" s="319"/>
      <c r="G28" s="319"/>
      <c r="H28" s="319"/>
      <c r="I28" s="319"/>
      <c r="J28" s="319"/>
      <c r="K28" s="319"/>
      <c r="L28" s="319"/>
      <c r="M28" s="319"/>
      <c r="N28" s="319"/>
      <c r="O28" s="319"/>
      <c r="P28" s="319"/>
      <c r="Q28" s="319"/>
      <c r="R28" s="319"/>
    </row>
    <row r="29" spans="1:18" s="140" customFormat="1" ht="62.25" customHeight="1">
      <c r="B29" s="310">
        <v>17</v>
      </c>
      <c r="C29" s="525" t="s">
        <v>243</v>
      </c>
      <c r="D29" s="525"/>
      <c r="E29" s="525"/>
      <c r="F29" s="525"/>
      <c r="G29" s="525"/>
      <c r="H29" s="525"/>
      <c r="I29" s="525"/>
      <c r="J29" s="525"/>
      <c r="K29" s="525"/>
      <c r="L29" s="525"/>
      <c r="M29" s="525"/>
      <c r="N29" s="525"/>
      <c r="O29" s="525"/>
      <c r="P29" s="525"/>
      <c r="Q29" s="525"/>
      <c r="R29" s="525"/>
    </row>
    <row r="30" spans="1:18" s="140" customFormat="1" ht="91.5" customHeight="1">
      <c r="B30" s="310">
        <v>18</v>
      </c>
      <c r="C30" s="525" t="s">
        <v>244</v>
      </c>
      <c r="D30" s="525"/>
      <c r="E30" s="525"/>
      <c r="F30" s="525"/>
      <c r="G30" s="525"/>
      <c r="H30" s="525"/>
      <c r="I30" s="525"/>
      <c r="J30" s="525"/>
      <c r="K30" s="525"/>
      <c r="L30" s="525"/>
      <c r="M30" s="525"/>
      <c r="N30" s="525"/>
      <c r="O30" s="525"/>
      <c r="P30" s="525"/>
      <c r="Q30" s="525"/>
      <c r="R30" s="525"/>
    </row>
    <row r="31" spans="1:18" ht="41.25" customHeight="1">
      <c r="B31" s="310">
        <v>19</v>
      </c>
      <c r="C31" s="525" t="s">
        <v>324</v>
      </c>
      <c r="D31" s="525"/>
      <c r="E31" s="525"/>
      <c r="F31" s="525"/>
      <c r="G31" s="525"/>
      <c r="H31" s="525"/>
      <c r="I31" s="525"/>
      <c r="J31" s="525"/>
      <c r="K31" s="525"/>
      <c r="L31" s="525"/>
      <c r="M31" s="525"/>
      <c r="N31" s="525"/>
      <c r="O31" s="525"/>
      <c r="P31" s="525"/>
      <c r="Q31" s="525"/>
      <c r="R31" s="525"/>
    </row>
  </sheetData>
  <sheetProtection algorithmName="SHA-512" hashValue="U5iE3dP3y5biRYeDU8MVVzn4M4OllhWLMn21cwDPyDKZdV1faB3UpW4ObLLdDXFfag6GNVTynJPNC20DtnX9nA==" saltValue="8sQJV4aNqZhg+Bo3UXLBtw==" spinCount="100000" sheet="1" objects="1" scenarios="1" selectLockedCells="1" selectUnlockedCells="1"/>
  <mergeCells count="18">
    <mergeCell ref="C4:R4"/>
    <mergeCell ref="C29:R29"/>
    <mergeCell ref="C30:R30"/>
    <mergeCell ref="C15:R15"/>
    <mergeCell ref="C7:R7"/>
    <mergeCell ref="C8:R8"/>
    <mergeCell ref="C9:R9"/>
    <mergeCell ref="C13:R13"/>
    <mergeCell ref="C31:R31"/>
    <mergeCell ref="C25:R25"/>
    <mergeCell ref="C24:R24"/>
    <mergeCell ref="C16:R16"/>
    <mergeCell ref="C18:R18"/>
    <mergeCell ref="C17:R17"/>
    <mergeCell ref="C19:R19"/>
    <mergeCell ref="C20:R20"/>
    <mergeCell ref="C21:R21"/>
    <mergeCell ref="C22:R22"/>
  </mergeCells>
  <pageMargins left="0.23622047244094491" right="0.23622047244094491" top="0.74803149606299213" bottom="0.74803149606299213" header="0.31496062992125984" footer="0.31496062992125984"/>
  <pageSetup paperSize="9" scale="60" fitToHeight="2" orientation="portrait" horizontalDpi="4294967292" verticalDpi="4294967292" r:id="rId1"/>
  <headerFooter>
    <oddFooter>&amp;L&amp;F&amp;C&amp;P di &amp;N&amp;R&amp;A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0">
    <pageSetUpPr fitToPage="1"/>
  </sheetPr>
  <dimension ref="A1:AE6"/>
  <sheetViews>
    <sheetView zoomScale="80" zoomScaleNormal="80" workbookViewId="0">
      <selection activeCell="A4" sqref="A4"/>
    </sheetView>
  </sheetViews>
  <sheetFormatPr defaultRowHeight="15"/>
  <cols>
    <col min="1" max="1" width="24.42578125" customWidth="1"/>
    <col min="2" max="3" width="26.5703125" customWidth="1"/>
    <col min="4" max="4" width="18" customWidth="1"/>
    <col min="6" max="6" width="45.140625" customWidth="1"/>
    <col min="7" max="7" width="56.7109375" customWidth="1"/>
    <col min="9" max="9" width="45.140625" customWidth="1"/>
    <col min="10" max="10" width="46.7109375" customWidth="1"/>
    <col min="12" max="12" width="45.140625" customWidth="1"/>
    <col min="13" max="13" width="46.7109375" customWidth="1"/>
    <col min="15" max="15" width="45.140625" customWidth="1"/>
    <col min="16" max="16" width="46.7109375" customWidth="1"/>
    <col min="18" max="18" width="45.140625" customWidth="1"/>
    <col min="19" max="19" width="46.7109375" customWidth="1"/>
    <col min="21" max="21" width="45.140625" customWidth="1"/>
    <col min="22" max="22" width="46.7109375" customWidth="1"/>
    <col min="24" max="24" width="45.140625" customWidth="1"/>
    <col min="25" max="25" width="46.7109375" customWidth="1"/>
    <col min="27" max="27" width="45.140625" customWidth="1"/>
    <col min="28" max="28" width="46.7109375" customWidth="1"/>
    <col min="29" max="29" width="50.7109375" customWidth="1"/>
    <col min="30" max="30" width="82.7109375" customWidth="1"/>
    <col min="31" max="31" width="38" customWidth="1"/>
  </cols>
  <sheetData>
    <row r="1" spans="1:31" ht="38.25" customHeight="1">
      <c r="E1" s="529" t="s">
        <v>190</v>
      </c>
      <c r="F1" s="530"/>
      <c r="G1" s="530"/>
      <c r="H1" s="531"/>
      <c r="I1" s="531"/>
      <c r="J1" s="532"/>
      <c r="K1" s="529" t="s">
        <v>191</v>
      </c>
      <c r="L1" s="536"/>
      <c r="M1" s="536"/>
      <c r="N1" s="531"/>
      <c r="O1" s="531"/>
      <c r="P1" s="532"/>
      <c r="Q1" s="529" t="s">
        <v>192</v>
      </c>
      <c r="R1" s="530"/>
      <c r="S1" s="530"/>
      <c r="T1" s="531"/>
      <c r="U1" s="531"/>
      <c r="V1" s="532"/>
      <c r="W1" s="533" t="s">
        <v>193</v>
      </c>
      <c r="X1" s="534"/>
      <c r="Y1" s="534"/>
      <c r="Z1" s="535"/>
      <c r="AA1" s="535"/>
      <c r="AB1" s="535"/>
      <c r="AC1" s="527"/>
    </row>
    <row r="2" spans="1:31" ht="38.25" customHeight="1">
      <c r="E2" s="529" t="s">
        <v>222</v>
      </c>
      <c r="F2" s="531"/>
      <c r="G2" s="531"/>
      <c r="H2" s="529" t="s">
        <v>223</v>
      </c>
      <c r="I2" s="531"/>
      <c r="J2" s="531"/>
      <c r="K2" s="529" t="s">
        <v>224</v>
      </c>
      <c r="L2" s="531"/>
      <c r="M2" s="531"/>
      <c r="N2" s="529" t="s">
        <v>225</v>
      </c>
      <c r="O2" s="531"/>
      <c r="P2" s="531"/>
      <c r="Q2" s="529" t="s">
        <v>226</v>
      </c>
      <c r="R2" s="531"/>
      <c r="S2" s="531"/>
      <c r="T2" s="529" t="s">
        <v>227</v>
      </c>
      <c r="U2" s="531"/>
      <c r="V2" s="531"/>
      <c r="W2" s="529" t="s">
        <v>228</v>
      </c>
      <c r="X2" s="531"/>
      <c r="Y2" s="531"/>
      <c r="Z2" s="529" t="s">
        <v>229</v>
      </c>
      <c r="AA2" s="531"/>
      <c r="AB2" s="531"/>
      <c r="AC2" s="528"/>
    </row>
    <row r="3" spans="1:31" ht="153.75" customHeight="1">
      <c r="A3" s="219" t="s">
        <v>187</v>
      </c>
      <c r="B3" s="219" t="s">
        <v>188</v>
      </c>
      <c r="C3" s="219" t="s">
        <v>189</v>
      </c>
      <c r="D3" s="218" t="s">
        <v>207</v>
      </c>
      <c r="E3" s="219" t="s">
        <v>206</v>
      </c>
      <c r="F3" s="219" t="s">
        <v>198</v>
      </c>
      <c r="G3" s="219" t="s">
        <v>199</v>
      </c>
      <c r="H3" s="219" t="s">
        <v>206</v>
      </c>
      <c r="I3" s="219" t="s">
        <v>198</v>
      </c>
      <c r="J3" s="219" t="s">
        <v>197</v>
      </c>
      <c r="K3" s="219" t="s">
        <v>206</v>
      </c>
      <c r="L3" s="219" t="s">
        <v>198</v>
      </c>
      <c r="M3" s="219" t="s">
        <v>197</v>
      </c>
      <c r="N3" s="219" t="s">
        <v>206</v>
      </c>
      <c r="O3" s="219" t="s">
        <v>198</v>
      </c>
      <c r="P3" s="219" t="s">
        <v>197</v>
      </c>
      <c r="Q3" s="219" t="s">
        <v>206</v>
      </c>
      <c r="R3" s="219" t="s">
        <v>198</v>
      </c>
      <c r="S3" s="219" t="s">
        <v>197</v>
      </c>
      <c r="T3" s="219" t="s">
        <v>206</v>
      </c>
      <c r="U3" s="219" t="s">
        <v>198</v>
      </c>
      <c r="V3" s="219" t="s">
        <v>197</v>
      </c>
      <c r="W3" s="219" t="s">
        <v>206</v>
      </c>
      <c r="X3" s="219" t="s">
        <v>198</v>
      </c>
      <c r="Y3" s="219" t="s">
        <v>197</v>
      </c>
      <c r="Z3" s="219" t="s">
        <v>206</v>
      </c>
      <c r="AA3" s="219" t="s">
        <v>198</v>
      </c>
      <c r="AB3" s="219" t="s">
        <v>197</v>
      </c>
      <c r="AC3" s="219" t="s">
        <v>221</v>
      </c>
      <c r="AD3" s="219" t="s">
        <v>307</v>
      </c>
      <c r="AE3" s="219" t="s">
        <v>308</v>
      </c>
    </row>
    <row r="4" spans="1:31" s="268" customFormat="1" ht="84.75" customHeight="1">
      <c r="A4" s="268" t="str">
        <f>UPPER(CONCATENATE('Dati Anagrafici'!B22,'Dati Anagrafici'!C22,'Dati Anagrafici'!D22,'Dati Anagrafici'!E22,'Dati Anagrafici'!F22,'Dati Anagrafici'!G22,'Dati Anagrafici'!H22,'Dati Anagrafici'!I22,'Dati Anagrafici'!J22,'Dati Anagrafici'!K22,'Dati Anagrafici'!L22,'Dati Anagrafici'!M22,'Dati Anagrafici'!N22,'Dati Anagrafici'!O22,'Dati Anagrafici'!P22,'Dati Anagrafici'!Q22))</f>
        <v/>
      </c>
      <c r="B4" s="268" t="str">
        <f>UPPER('Dati Anagrafici'!J6)</f>
        <v/>
      </c>
      <c r="C4" s="268" t="str">
        <f>UPPER('Dati Anagrafici'!C6)</f>
        <v/>
      </c>
      <c r="D4" s="268">
        <f>+'Dichiarazione Esami Sostenuti'!K102</f>
        <v>0</v>
      </c>
      <c r="E4" s="272" t="str">
        <f>+'Dichiarazione Esami Sostenuti'!$N12</f>
        <v/>
      </c>
      <c r="F4" s="269" t="str">
        <f>IF(F6&gt;1,RIGHT(F5,F6-2),"")</f>
        <v/>
      </c>
      <c r="G4" s="268" t="str">
        <f>IF('Dichiarazione Esami Sostenuti'!$B13&lt;&gt;"", CONCATENATE(+'Dichiarazione Esami Sostenuti'!$B13, " - ", 'Dichiarazione Esami Sostenuti'!$B14,"/30", " - CFU/Durata: ", 'Dichiarazione Esami Sostenuti'!$B15, " - SSD: ", 'Dichiarazione Esami Sostenuti'!$B16, " - ", 'Dichiarazione Esami Sostenuti'!$B17),"")</f>
        <v/>
      </c>
      <c r="H4" s="272" t="str">
        <f>+'Dichiarazione Esami Sostenuti'!$N21</f>
        <v/>
      </c>
      <c r="I4" s="269" t="str">
        <f>IF(I6&gt;1,RIGHT(I5,I6-2),"")</f>
        <v/>
      </c>
      <c r="J4" s="268" t="str">
        <f>IF('Dichiarazione Esami Sostenuti'!$B22&lt;&gt;"", CONCATENATE(+'Dichiarazione Esami Sostenuti'!$B22, " - ", 'Dichiarazione Esami Sostenuti'!$B23,"/30", " - CFU/Durata: ", 'Dichiarazione Esami Sostenuti'!$B24, " - SSD: ", 'Dichiarazione Esami Sostenuti'!$B25, " - ", 'Dichiarazione Esami Sostenuti'!$B26), "")</f>
        <v/>
      </c>
      <c r="K4" s="272" t="str">
        <f>+'Dichiarazione Esami Sostenuti'!$N34</f>
        <v/>
      </c>
      <c r="L4" s="269" t="str">
        <f>IF(L6&gt;1,RIGHT(L5,L6-2),"")</f>
        <v/>
      </c>
      <c r="M4" s="268" t="str">
        <f>IF('Dichiarazione Esami Sostenuti'!$B35&lt;&gt;"", CONCATENATE(+'Dichiarazione Esami Sostenuti'!$B35, " - ", 'Dichiarazione Esami Sostenuti'!$B36,"/30", " - CFU/Durata: ", 'Dichiarazione Esami Sostenuti'!$B37, " - SSD: ", 'Dichiarazione Esami Sostenuti'!$B38, " - ", 'Dichiarazione Esami Sostenuti'!$B39), "")</f>
        <v/>
      </c>
      <c r="N4" s="272" t="str">
        <f>+'Dichiarazione Esami Sostenuti'!$N43</f>
        <v/>
      </c>
      <c r="O4" s="269" t="str">
        <f>IF(O6&gt;1,RIGHT(O5,O6-2),"")</f>
        <v/>
      </c>
      <c r="P4" s="268" t="str">
        <f>IF('Dichiarazione Esami Sostenuti'!$B44&lt;&gt;"", CONCATENATE(+'Dichiarazione Esami Sostenuti'!$B44, " - ", 'Dichiarazione Esami Sostenuti'!$B45,"/30", " - CFU/Durata: ", 'Dichiarazione Esami Sostenuti'!$B46, " - SSD: ", 'Dichiarazione Esami Sostenuti'!$B47, " - ", 'Dichiarazione Esami Sostenuti'!$B48), "")</f>
        <v/>
      </c>
      <c r="Q4" s="272" t="str">
        <f>+'Dichiarazione Esami Sostenuti'!$N56</f>
        <v/>
      </c>
      <c r="R4" s="269" t="str">
        <f>IF(R6&gt;1,RIGHT(R5,R6-2),"")</f>
        <v/>
      </c>
      <c r="S4" s="268" t="str">
        <f xml:space="preserve"> IF('Dichiarazione Esami Sostenuti'!$B57&lt;&gt;"", CONCATENATE(+'Dichiarazione Esami Sostenuti'!$B57, " - ", 'Dichiarazione Esami Sostenuti'!$B58,"/30", " - CFU/Durata: ", 'Dichiarazione Esami Sostenuti'!$B59, " - SSD: ", 'Dichiarazione Esami Sostenuti'!$B60, " - ", 'Dichiarazione Esami Sostenuti'!$B61), "")</f>
        <v/>
      </c>
      <c r="T4" s="272" t="str">
        <f>+'Dichiarazione Esami Sostenuti'!$N65</f>
        <v/>
      </c>
      <c r="U4" s="269" t="str">
        <f>IF(U6&gt;1,RIGHT(U5,U6-2),"")</f>
        <v/>
      </c>
      <c r="V4" s="268" t="str">
        <f xml:space="preserve"> IF('Dichiarazione Esami Sostenuti'!$B66&lt;&gt;"", CONCATENATE(+'Dichiarazione Esami Sostenuti'!$B66, " - ", 'Dichiarazione Esami Sostenuti'!$B67,"/30", " - CFU/Durata: ", 'Dichiarazione Esami Sostenuti'!$B68, " - SSD: ", 'Dichiarazione Esami Sostenuti'!$B69, " - ", 'Dichiarazione Esami Sostenuti'!$B70), "")</f>
        <v/>
      </c>
      <c r="W4" s="272" t="str">
        <f>+'Dichiarazione Esami Sostenuti'!$N78</f>
        <v/>
      </c>
      <c r="X4" s="269" t="str">
        <f>IF(X6&gt;1,RIGHT(X5,X6-2),"")</f>
        <v/>
      </c>
      <c r="Y4" s="268" t="str">
        <f xml:space="preserve"> IF('Dichiarazione Esami Sostenuti'!$B79&lt;&gt;"", CONCATENATE(+'Dichiarazione Esami Sostenuti'!$B79, " - ", 'Dichiarazione Esami Sostenuti'!$B80,"/30", " - CFU/Durata: ", 'Dichiarazione Esami Sostenuti'!$B81, " - SSD: ", 'Dichiarazione Esami Sostenuti'!$B82, " - ", 'Dichiarazione Esami Sostenuti'!$B83), "")</f>
        <v/>
      </c>
      <c r="Z4" s="272" t="str">
        <f>+'Dichiarazione Esami Sostenuti'!$N87</f>
        <v/>
      </c>
      <c r="AA4" s="269" t="str">
        <f>IF(AA6&gt;1,RIGHT(AA5,AA6-2),"")</f>
        <v/>
      </c>
      <c r="AB4" s="268" t="str">
        <f xml:space="preserve"> IF('Dichiarazione Esami Sostenuti'!$B88&lt;&gt;"", CONCATENATE(+'Dichiarazione Esami Sostenuti'!$B88, " - ", 'Dichiarazione Esami Sostenuti'!$B89,"/85", " - CFU/Durata: ", 'Dichiarazione Esami Sostenuti'!$B90, " - SSD: ", 'Dichiarazione Esami Sostenuti'!$B91, " - ", 'Dichiarazione Esami Sostenuti'!$B92), "")</f>
        <v/>
      </c>
      <c r="AC4" s="268" t="str">
        <f>IF(+'Dichiarazione Esami Sostenuti'!M111&gt;0, +'Dichiarazione Esami Sostenuti'!M111, "nessuno")</f>
        <v>nessuno</v>
      </c>
      <c r="AD4" s="268">
        <f>+'Dati Anagrafici'!C19</f>
        <v>0</v>
      </c>
      <c r="AE4" s="326">
        <f>+'Dati Anagrafici'!C16</f>
        <v>0</v>
      </c>
    </row>
    <row r="5" spans="1:31" s="270" customFormat="1">
      <c r="D5" s="273"/>
      <c r="F5" s="271">
        <f>+'Dichiarazione Esami Sostenuti'!$B12</f>
        <v>0</v>
      </c>
      <c r="I5" s="271">
        <f>+'Dichiarazione Esami Sostenuti'!$B21</f>
        <v>0</v>
      </c>
      <c r="L5" s="271">
        <f>+'Dichiarazione Esami Sostenuti'!$B34</f>
        <v>0</v>
      </c>
      <c r="O5" s="271">
        <f>+'Dichiarazione Esami Sostenuti'!$B43</f>
        <v>0</v>
      </c>
      <c r="R5" s="271">
        <f>+'Dichiarazione Esami Sostenuti'!$B56</f>
        <v>0</v>
      </c>
      <c r="U5" s="271">
        <f>+'Dichiarazione Esami Sostenuti'!$B65</f>
        <v>0</v>
      </c>
      <c r="X5" s="271">
        <f>+'Dichiarazione Esami Sostenuti'!$B78</f>
        <v>0</v>
      </c>
      <c r="AA5" s="271">
        <f>+'Dichiarazione Esami Sostenuti'!$B87</f>
        <v>0</v>
      </c>
    </row>
    <row r="6" spans="1:31" s="270" customFormat="1">
      <c r="F6" s="270">
        <f>LEN(F5)</f>
        <v>1</v>
      </c>
      <c r="I6" s="270">
        <f>LEN(I5)</f>
        <v>1</v>
      </c>
      <c r="L6" s="270">
        <f>LEN(L5)</f>
        <v>1</v>
      </c>
      <c r="O6" s="270">
        <f>LEN(O5)</f>
        <v>1</v>
      </c>
      <c r="R6" s="270">
        <f>LEN(R5)</f>
        <v>1</v>
      </c>
      <c r="U6" s="270">
        <f>LEN(U5)</f>
        <v>1</v>
      </c>
      <c r="X6" s="270">
        <f>LEN(X5)</f>
        <v>1</v>
      </c>
      <c r="AA6" s="270">
        <f>LEN(AA5)</f>
        <v>1</v>
      </c>
    </row>
  </sheetData>
  <sheetProtection password="FD38" sheet="1" objects="1" scenarios="1" selectLockedCells="1"/>
  <mergeCells count="13">
    <mergeCell ref="AC1:AC2"/>
    <mergeCell ref="Q1:V1"/>
    <mergeCell ref="W1:AB1"/>
    <mergeCell ref="K1:P1"/>
    <mergeCell ref="E1:J1"/>
    <mergeCell ref="E2:G2"/>
    <mergeCell ref="H2:J2"/>
    <mergeCell ref="K2:M2"/>
    <mergeCell ref="N2:P2"/>
    <mergeCell ref="Q2:S2"/>
    <mergeCell ref="T2:V2"/>
    <mergeCell ref="W2:Y2"/>
    <mergeCell ref="Z2:AB2"/>
  </mergeCells>
  <pageMargins left="0.70866141732283472" right="0.70866141732283472" top="0.74803149606299213" bottom="0.74803149606299213" header="0.31496062992125984" footer="0.31496062992125984"/>
  <pageSetup paperSize="9" scale="44" fitToWidth="4"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92D050"/>
  </sheetPr>
  <dimension ref="B1:E105"/>
  <sheetViews>
    <sheetView topLeftCell="A82" zoomScale="70" zoomScaleNormal="70" workbookViewId="0">
      <selection activeCell="E96" sqref="E96"/>
    </sheetView>
  </sheetViews>
  <sheetFormatPr defaultColWidth="8.85546875" defaultRowHeight="15"/>
  <cols>
    <col min="1" max="1" width="8.85546875" style="28"/>
    <col min="2" max="2" width="69" style="28" customWidth="1"/>
    <col min="3" max="3" width="23" style="28" customWidth="1"/>
    <col min="4" max="4" width="11.28515625" style="328" bestFit="1" customWidth="1"/>
    <col min="5" max="5" width="35.85546875" style="28" customWidth="1"/>
    <col min="6" max="6" width="48.7109375" style="28" bestFit="1" customWidth="1"/>
    <col min="7" max="7" width="28.85546875" style="28" customWidth="1"/>
    <col min="8" max="8" width="11.28515625" style="28" bestFit="1" customWidth="1"/>
    <col min="9" max="9" width="8.85546875" style="28"/>
    <col min="10" max="10" width="68.28515625" style="28" bestFit="1" customWidth="1"/>
    <col min="11" max="11" width="9.85546875" style="28" customWidth="1"/>
    <col min="12" max="12" width="11.85546875" style="28" bestFit="1" customWidth="1"/>
    <col min="13" max="14" width="8.85546875" style="28"/>
    <col min="15" max="15" width="24.42578125" style="28" customWidth="1"/>
    <col min="16" max="16384" width="8.85546875" style="28"/>
  </cols>
  <sheetData>
    <row r="1" spans="2:5" ht="85.5">
      <c r="B1" s="311" t="s">
        <v>211</v>
      </c>
      <c r="C1" s="312"/>
    </row>
    <row r="2" spans="2:5" ht="24.75" customHeight="1">
      <c r="B2" s="313" t="s">
        <v>236</v>
      </c>
      <c r="C2" s="313" t="s">
        <v>237</v>
      </c>
    </row>
    <row r="3" spans="2:5" ht="24.75" customHeight="1">
      <c r="B3" s="312" t="s">
        <v>248</v>
      </c>
      <c r="C3" s="312" t="s">
        <v>114</v>
      </c>
      <c r="D3" s="328">
        <v>1</v>
      </c>
      <c r="E3" s="117" t="s">
        <v>112</v>
      </c>
    </row>
    <row r="4" spans="2:5" ht="24.75" customHeight="1">
      <c r="B4" s="312" t="s">
        <v>153</v>
      </c>
      <c r="C4" s="312" t="s">
        <v>114</v>
      </c>
      <c r="D4" s="328">
        <v>1</v>
      </c>
      <c r="E4" s="117" t="s">
        <v>113</v>
      </c>
    </row>
    <row r="5" spans="2:5" ht="24.75" customHeight="1">
      <c r="B5" s="312" t="s">
        <v>331</v>
      </c>
      <c r="C5" s="312" t="s">
        <v>114</v>
      </c>
      <c r="D5" s="335">
        <v>1</v>
      </c>
      <c r="E5" s="117" t="s">
        <v>114</v>
      </c>
    </row>
    <row r="6" spans="2:5" ht="24.75" customHeight="1">
      <c r="B6" s="312" t="s">
        <v>332</v>
      </c>
      <c r="C6" s="312" t="s">
        <v>114</v>
      </c>
      <c r="D6" s="335">
        <v>1</v>
      </c>
      <c r="E6" s="117" t="s">
        <v>115</v>
      </c>
    </row>
    <row r="7" spans="2:5" ht="24.75" customHeight="1">
      <c r="B7" s="312" t="s">
        <v>157</v>
      </c>
      <c r="C7" s="312" t="s">
        <v>63</v>
      </c>
      <c r="D7" s="328">
        <v>1</v>
      </c>
      <c r="E7" s="117" t="s">
        <v>63</v>
      </c>
    </row>
    <row r="8" spans="2:5" ht="24.75" customHeight="1">
      <c r="B8" s="312" t="s">
        <v>163</v>
      </c>
      <c r="C8" s="312" t="s">
        <v>63</v>
      </c>
      <c r="D8" s="328">
        <v>1</v>
      </c>
      <c r="E8" s="117"/>
    </row>
    <row r="9" spans="2:5" ht="24.75" customHeight="1">
      <c r="B9" s="312" t="s">
        <v>249</v>
      </c>
      <c r="C9" s="312" t="s">
        <v>114</v>
      </c>
      <c r="D9" s="328">
        <v>1</v>
      </c>
    </row>
    <row r="10" spans="2:5" ht="24.75" customHeight="1">
      <c r="B10" s="312" t="s">
        <v>315</v>
      </c>
      <c r="C10" s="312" t="s">
        <v>114</v>
      </c>
      <c r="D10" s="330">
        <v>1</v>
      </c>
    </row>
    <row r="11" spans="2:5" ht="24.75" customHeight="1">
      <c r="B11" s="312" t="s">
        <v>250</v>
      </c>
      <c r="C11" s="312" t="s">
        <v>114</v>
      </c>
      <c r="D11" s="328">
        <v>1</v>
      </c>
    </row>
    <row r="12" spans="2:5" ht="24.75" customHeight="1">
      <c r="B12" s="312" t="s">
        <v>251</v>
      </c>
      <c r="C12" s="312" t="s">
        <v>113</v>
      </c>
      <c r="D12" s="328">
        <v>1</v>
      </c>
    </row>
    <row r="13" spans="2:5" ht="24.75" customHeight="1">
      <c r="B13" s="312" t="s">
        <v>325</v>
      </c>
      <c r="C13" s="312" t="s">
        <v>113</v>
      </c>
      <c r="D13" s="331">
        <v>1</v>
      </c>
    </row>
    <row r="14" spans="2:5" ht="24.75" customHeight="1">
      <c r="B14" s="312" t="s">
        <v>252</v>
      </c>
      <c r="C14" s="312" t="s">
        <v>114</v>
      </c>
      <c r="D14" s="328">
        <v>1</v>
      </c>
    </row>
    <row r="15" spans="2:5" ht="24.75" customHeight="1">
      <c r="B15" s="312" t="s">
        <v>253</v>
      </c>
      <c r="C15" s="312" t="s">
        <v>114</v>
      </c>
      <c r="D15" s="328">
        <v>1</v>
      </c>
    </row>
    <row r="16" spans="2:5" ht="24.75" customHeight="1">
      <c r="B16" s="312" t="s">
        <v>254</v>
      </c>
      <c r="C16" s="312" t="s">
        <v>112</v>
      </c>
      <c r="D16" s="328">
        <v>1</v>
      </c>
    </row>
    <row r="17" spans="2:4" ht="24.75" customHeight="1">
      <c r="B17" s="312" t="s">
        <v>255</v>
      </c>
      <c r="C17" s="312" t="s">
        <v>63</v>
      </c>
      <c r="D17" s="328">
        <v>1</v>
      </c>
    </row>
    <row r="18" spans="2:4" ht="24.75" customHeight="1">
      <c r="B18" s="312" t="s">
        <v>256</v>
      </c>
      <c r="C18" s="312" t="s">
        <v>112</v>
      </c>
      <c r="D18" s="328">
        <v>1</v>
      </c>
    </row>
    <row r="19" spans="2:4" ht="24.75" customHeight="1">
      <c r="B19" s="312" t="s">
        <v>257</v>
      </c>
      <c r="C19" s="312" t="s">
        <v>112</v>
      </c>
      <c r="D19" s="328">
        <v>1</v>
      </c>
    </row>
    <row r="20" spans="2:4" ht="24.75" customHeight="1">
      <c r="B20" s="312" t="s">
        <v>309</v>
      </c>
      <c r="C20" s="312" t="s">
        <v>114</v>
      </c>
      <c r="D20" s="328">
        <v>1</v>
      </c>
    </row>
    <row r="21" spans="2:4" ht="24.75" customHeight="1">
      <c r="B21" s="312" t="s">
        <v>258</v>
      </c>
      <c r="C21" s="312" t="s">
        <v>63</v>
      </c>
      <c r="D21" s="328">
        <v>1</v>
      </c>
    </row>
    <row r="22" spans="2:4" ht="24.75" customHeight="1">
      <c r="B22" s="312" t="s">
        <v>259</v>
      </c>
      <c r="C22" s="312" t="s">
        <v>63</v>
      </c>
      <c r="D22" s="328">
        <v>1</v>
      </c>
    </row>
    <row r="23" spans="2:4" ht="24.75" customHeight="1">
      <c r="B23" s="312" t="s">
        <v>330</v>
      </c>
      <c r="C23" s="312" t="s">
        <v>113</v>
      </c>
      <c r="D23" s="334">
        <v>1</v>
      </c>
    </row>
    <row r="24" spans="2:4" ht="24.75" customHeight="1">
      <c r="B24" s="312" t="s">
        <v>260</v>
      </c>
      <c r="C24" s="312" t="s">
        <v>113</v>
      </c>
      <c r="D24" s="328">
        <v>1</v>
      </c>
    </row>
    <row r="25" spans="2:4" ht="24.75" customHeight="1">
      <c r="B25" s="312" t="s">
        <v>261</v>
      </c>
      <c r="C25" s="312" t="s">
        <v>113</v>
      </c>
      <c r="D25" s="328">
        <v>1</v>
      </c>
    </row>
    <row r="26" spans="2:4" ht="24.75" customHeight="1">
      <c r="B26" s="312" t="s">
        <v>262</v>
      </c>
      <c r="C26" s="312" t="s">
        <v>113</v>
      </c>
      <c r="D26" s="328">
        <v>1</v>
      </c>
    </row>
    <row r="27" spans="2:4" ht="24.75" customHeight="1">
      <c r="B27" s="312" t="s">
        <v>263</v>
      </c>
      <c r="C27" s="312" t="s">
        <v>113</v>
      </c>
      <c r="D27" s="328">
        <v>1</v>
      </c>
    </row>
    <row r="28" spans="2:4" ht="24.75" customHeight="1">
      <c r="B28" s="312" t="s">
        <v>264</v>
      </c>
      <c r="C28" s="312" t="s">
        <v>113</v>
      </c>
      <c r="D28" s="328">
        <v>1</v>
      </c>
    </row>
    <row r="29" spans="2:4" ht="24.75" customHeight="1">
      <c r="B29" s="312" t="s">
        <v>265</v>
      </c>
      <c r="C29" s="312" t="s">
        <v>113</v>
      </c>
      <c r="D29" s="328">
        <v>1</v>
      </c>
    </row>
    <row r="30" spans="2:4" ht="24.75" customHeight="1">
      <c r="B30" s="312" t="s">
        <v>266</v>
      </c>
      <c r="C30" s="312" t="s">
        <v>113</v>
      </c>
      <c r="D30" s="328">
        <v>1</v>
      </c>
    </row>
    <row r="31" spans="2:4" ht="24.75" customHeight="1">
      <c r="B31" s="312" t="s">
        <v>267</v>
      </c>
      <c r="C31" s="312" t="s">
        <v>113</v>
      </c>
      <c r="D31" s="328">
        <v>1</v>
      </c>
    </row>
    <row r="32" spans="2:4" ht="24.75" customHeight="1">
      <c r="B32" s="312" t="s">
        <v>268</v>
      </c>
      <c r="C32" s="312" t="s">
        <v>113</v>
      </c>
      <c r="D32" s="328">
        <v>1</v>
      </c>
    </row>
    <row r="33" spans="2:5" ht="30.75" customHeight="1">
      <c r="B33" s="28" t="s">
        <v>269</v>
      </c>
      <c r="C33" s="28" t="s">
        <v>269</v>
      </c>
    </row>
    <row r="34" spans="2:5" ht="30.75" customHeight="1">
      <c r="B34" s="28" t="s">
        <v>269</v>
      </c>
      <c r="C34" s="28" t="s">
        <v>269</v>
      </c>
    </row>
    <row r="35" spans="2:5" ht="30.75" customHeight="1">
      <c r="B35" s="314" t="s">
        <v>71</v>
      </c>
      <c r="C35" s="312" t="s">
        <v>269</v>
      </c>
      <c r="E35" s="117" t="s">
        <v>16</v>
      </c>
    </row>
    <row r="36" spans="2:5" ht="30.75" customHeight="1">
      <c r="B36" s="313" t="s">
        <v>236</v>
      </c>
      <c r="C36" s="313" t="s">
        <v>237</v>
      </c>
      <c r="E36" s="117" t="s">
        <v>15</v>
      </c>
    </row>
    <row r="37" spans="2:5" ht="30.75" customHeight="1">
      <c r="B37" s="312" t="s">
        <v>270</v>
      </c>
      <c r="C37" s="312" t="s">
        <v>63</v>
      </c>
      <c r="D37" s="328">
        <v>1</v>
      </c>
      <c r="E37" s="117" t="s">
        <v>17</v>
      </c>
    </row>
    <row r="38" spans="2:5" ht="30.75" customHeight="1">
      <c r="B38" s="312" t="s">
        <v>271</v>
      </c>
      <c r="C38" s="312" t="s">
        <v>15</v>
      </c>
      <c r="D38" s="328">
        <v>1</v>
      </c>
      <c r="E38" s="117" t="s">
        <v>63</v>
      </c>
    </row>
    <row r="39" spans="2:5" ht="30.75" customHeight="1">
      <c r="B39" s="312" t="s">
        <v>272</v>
      </c>
      <c r="C39" s="312" t="s">
        <v>63</v>
      </c>
      <c r="D39" s="328">
        <v>1</v>
      </c>
    </row>
    <row r="40" spans="2:5" ht="30.75" customHeight="1">
      <c r="B40" s="312" t="s">
        <v>273</v>
      </c>
      <c r="C40" s="312" t="s">
        <v>63</v>
      </c>
      <c r="D40" s="328">
        <v>1</v>
      </c>
    </row>
    <row r="41" spans="2:5" ht="30.75" customHeight="1">
      <c r="B41" s="312" t="s">
        <v>165</v>
      </c>
      <c r="C41" s="312" t="s">
        <v>63</v>
      </c>
      <c r="D41" s="328">
        <v>1</v>
      </c>
    </row>
    <row r="42" spans="2:5" ht="30.75" customHeight="1">
      <c r="B42" s="312" t="s">
        <v>274</v>
      </c>
      <c r="C42" s="312" t="s">
        <v>63</v>
      </c>
      <c r="D42" s="328">
        <v>1</v>
      </c>
    </row>
    <row r="43" spans="2:5" ht="30.75" customHeight="1">
      <c r="B43" s="312" t="s">
        <v>275</v>
      </c>
      <c r="C43" s="312" t="s">
        <v>15</v>
      </c>
      <c r="D43" s="328">
        <v>1</v>
      </c>
    </row>
    <row r="44" spans="2:5" ht="30.75" customHeight="1">
      <c r="B44" s="312" t="s">
        <v>316</v>
      </c>
      <c r="C44" s="312" t="s">
        <v>15</v>
      </c>
      <c r="D44" s="330">
        <v>1</v>
      </c>
    </row>
    <row r="45" spans="2:5" ht="30.75" customHeight="1">
      <c r="B45" s="312" t="s">
        <v>276</v>
      </c>
      <c r="C45" s="312" t="s">
        <v>63</v>
      </c>
      <c r="D45" s="328">
        <v>1</v>
      </c>
    </row>
    <row r="46" spans="2:5" ht="30.75" customHeight="1">
      <c r="B46" s="312" t="s">
        <v>277</v>
      </c>
      <c r="C46" s="312" t="s">
        <v>63</v>
      </c>
      <c r="D46" s="328">
        <v>1</v>
      </c>
    </row>
    <row r="47" spans="2:5" ht="30.75" customHeight="1">
      <c r="B47" s="312" t="s">
        <v>278</v>
      </c>
      <c r="C47" s="312" t="s">
        <v>16</v>
      </c>
      <c r="D47" s="328">
        <v>1</v>
      </c>
    </row>
    <row r="48" spans="2:5" ht="30.75" customHeight="1">
      <c r="B48" s="312" t="s">
        <v>279</v>
      </c>
      <c r="C48" s="312" t="s">
        <v>63</v>
      </c>
      <c r="D48" s="328">
        <v>1</v>
      </c>
    </row>
    <row r="49" spans="2:5" ht="30.75" customHeight="1">
      <c r="B49" s="312" t="s">
        <v>164</v>
      </c>
      <c r="C49" s="312" t="s">
        <v>63</v>
      </c>
      <c r="D49" s="328">
        <v>1</v>
      </c>
    </row>
    <row r="50" spans="2:5">
      <c r="B50" s="312" t="s">
        <v>280</v>
      </c>
      <c r="C50" s="312" t="s">
        <v>16</v>
      </c>
      <c r="D50" s="328">
        <v>1</v>
      </c>
    </row>
    <row r="51" spans="2:5" ht="29.25" customHeight="1">
      <c r="B51" s="312" t="s">
        <v>281</v>
      </c>
      <c r="C51" s="312" t="s">
        <v>17</v>
      </c>
      <c r="D51" s="328">
        <v>1</v>
      </c>
    </row>
    <row r="52" spans="2:5" ht="29.25" customHeight="1">
      <c r="B52" s="28" t="s">
        <v>269</v>
      </c>
      <c r="C52" s="28" t="s">
        <v>269</v>
      </c>
    </row>
    <row r="53" spans="2:5" ht="29.25" customHeight="1">
      <c r="B53" s="28" t="s">
        <v>269</v>
      </c>
      <c r="C53" s="28" t="s">
        <v>269</v>
      </c>
    </row>
    <row r="54" spans="2:5" ht="29.25" customHeight="1">
      <c r="B54" s="314" t="s">
        <v>72</v>
      </c>
      <c r="C54" s="312" t="s">
        <v>269</v>
      </c>
      <c r="E54" s="117" t="s">
        <v>19</v>
      </c>
    </row>
    <row r="55" spans="2:5" ht="29.25" customHeight="1">
      <c r="B55" s="313" t="s">
        <v>236</v>
      </c>
      <c r="C55" s="313" t="s">
        <v>237</v>
      </c>
      <c r="E55" s="117" t="s">
        <v>63</v>
      </c>
    </row>
    <row r="56" spans="2:5" ht="29.25" customHeight="1">
      <c r="B56" s="312" t="s">
        <v>282</v>
      </c>
      <c r="C56" s="312" t="s">
        <v>19</v>
      </c>
      <c r="D56" s="328">
        <v>1</v>
      </c>
    </row>
    <row r="57" spans="2:5" ht="29.25" customHeight="1">
      <c r="B57" s="312" t="s">
        <v>283</v>
      </c>
      <c r="C57" s="312" t="s">
        <v>19</v>
      </c>
      <c r="D57" s="328">
        <v>1</v>
      </c>
    </row>
    <row r="58" spans="2:5" ht="29.25" customHeight="1">
      <c r="B58" s="312" t="s">
        <v>284</v>
      </c>
      <c r="C58" s="312" t="s">
        <v>19</v>
      </c>
      <c r="D58" s="328">
        <v>1</v>
      </c>
    </row>
    <row r="59" spans="2:5" ht="29.25" customHeight="1">
      <c r="B59" s="312" t="s">
        <v>285</v>
      </c>
      <c r="C59" s="312" t="s">
        <v>19</v>
      </c>
      <c r="D59" s="328">
        <v>1</v>
      </c>
    </row>
    <row r="60" spans="2:5" ht="29.25" customHeight="1">
      <c r="B60" s="312" t="s">
        <v>285</v>
      </c>
      <c r="C60" s="312" t="s">
        <v>63</v>
      </c>
      <c r="D60" s="328">
        <v>1</v>
      </c>
    </row>
    <row r="61" spans="2:5" ht="29.25" customHeight="1">
      <c r="B61" s="312" t="s">
        <v>286</v>
      </c>
      <c r="C61" s="312" t="s">
        <v>19</v>
      </c>
      <c r="D61" s="328">
        <v>1</v>
      </c>
    </row>
    <row r="62" spans="2:5" ht="29.25" customHeight="1">
      <c r="B62" s="312" t="s">
        <v>286</v>
      </c>
      <c r="C62" s="312" t="s">
        <v>63</v>
      </c>
      <c r="D62" s="328">
        <v>1</v>
      </c>
    </row>
    <row r="63" spans="2:5" ht="29.25" customHeight="1">
      <c r="B63" s="312" t="s">
        <v>287</v>
      </c>
      <c r="C63" s="312" t="s">
        <v>19</v>
      </c>
      <c r="D63" s="328">
        <v>1</v>
      </c>
    </row>
    <row r="64" spans="2:5" ht="29.25" customHeight="1">
      <c r="B64" s="312" t="s">
        <v>288</v>
      </c>
      <c r="C64" s="312" t="s">
        <v>19</v>
      </c>
      <c r="D64" s="328">
        <v>1</v>
      </c>
    </row>
    <row r="65" spans="2:5" ht="29.25" customHeight="1">
      <c r="B65" s="312" t="s">
        <v>289</v>
      </c>
      <c r="C65" s="312" t="s">
        <v>63</v>
      </c>
      <c r="D65" s="328">
        <v>1</v>
      </c>
    </row>
    <row r="66" spans="2:5" ht="29.25" customHeight="1">
      <c r="B66" s="312" t="s">
        <v>290</v>
      </c>
      <c r="C66" s="312" t="s">
        <v>19</v>
      </c>
      <c r="D66" s="328">
        <v>1</v>
      </c>
    </row>
    <row r="67" spans="2:5" ht="32.25" customHeight="1">
      <c r="B67" s="312" t="s">
        <v>291</v>
      </c>
      <c r="C67" s="312" t="s">
        <v>19</v>
      </c>
      <c r="D67" s="328">
        <v>1</v>
      </c>
    </row>
    <row r="68" spans="2:5" ht="32.25" customHeight="1">
      <c r="B68" s="312" t="s">
        <v>292</v>
      </c>
      <c r="C68" s="312" t="s">
        <v>19</v>
      </c>
      <c r="D68" s="328">
        <v>1</v>
      </c>
    </row>
    <row r="69" spans="2:5" ht="32.25" customHeight="1">
      <c r="B69" s="312" t="s">
        <v>293</v>
      </c>
      <c r="C69" s="312" t="s">
        <v>19</v>
      </c>
      <c r="D69" s="328">
        <v>1</v>
      </c>
    </row>
    <row r="70" spans="2:5" ht="32.25" customHeight="1">
      <c r="B70" s="312" t="s">
        <v>156</v>
      </c>
      <c r="C70" s="312" t="s">
        <v>19</v>
      </c>
      <c r="D70" s="328">
        <v>1</v>
      </c>
    </row>
    <row r="71" spans="2:5" ht="32.25" customHeight="1">
      <c r="B71" s="312" t="s">
        <v>294</v>
      </c>
      <c r="C71" s="312" t="s">
        <v>19</v>
      </c>
      <c r="D71" s="328">
        <v>1</v>
      </c>
    </row>
    <row r="72" spans="2:5" ht="32.25" customHeight="1">
      <c r="B72" s="312" t="s">
        <v>151</v>
      </c>
      <c r="C72" s="312" t="s">
        <v>19</v>
      </c>
      <c r="D72" s="328">
        <v>1</v>
      </c>
    </row>
    <row r="73" spans="2:5" ht="57.75" customHeight="1">
      <c r="B73" s="28" t="s">
        <v>269</v>
      </c>
      <c r="C73" s="28" t="s">
        <v>269</v>
      </c>
    </row>
    <row r="74" spans="2:5" ht="32.25" customHeight="1">
      <c r="B74" s="28" t="s">
        <v>269</v>
      </c>
      <c r="C74" s="28" t="s">
        <v>269</v>
      </c>
    </row>
    <row r="75" spans="2:5" ht="49.5" customHeight="1">
      <c r="B75" s="311" t="s">
        <v>73</v>
      </c>
      <c r="C75" s="312" t="s">
        <v>269</v>
      </c>
      <c r="E75" s="117" t="s">
        <v>114</v>
      </c>
    </row>
    <row r="76" spans="2:5" ht="32.25" customHeight="1">
      <c r="B76" s="313" t="s">
        <v>236</v>
      </c>
      <c r="C76" s="313" t="s">
        <v>237</v>
      </c>
      <c r="E76" s="117" t="s">
        <v>247</v>
      </c>
    </row>
    <row r="77" spans="2:5" ht="66.75" customHeight="1">
      <c r="B77" s="312" t="s">
        <v>248</v>
      </c>
      <c r="C77" s="312" t="s">
        <v>114</v>
      </c>
      <c r="D77" s="328">
        <v>1</v>
      </c>
      <c r="E77" s="117" t="s">
        <v>115</v>
      </c>
    </row>
    <row r="78" spans="2:5" ht="52.5" customHeight="1">
      <c r="B78" s="312" t="s">
        <v>295</v>
      </c>
      <c r="C78" s="312" t="s">
        <v>43</v>
      </c>
      <c r="D78" s="328">
        <v>1</v>
      </c>
      <c r="E78" s="117" t="s">
        <v>43</v>
      </c>
    </row>
    <row r="79" spans="2:5" ht="69" customHeight="1">
      <c r="B79" s="315" t="s">
        <v>296</v>
      </c>
      <c r="C79" s="312" t="s">
        <v>246</v>
      </c>
      <c r="D79" s="328">
        <v>1</v>
      </c>
      <c r="E79" s="117" t="s">
        <v>329</v>
      </c>
    </row>
    <row r="80" spans="2:5" ht="32.25" customHeight="1">
      <c r="B80" s="312" t="s">
        <v>297</v>
      </c>
      <c r="C80" s="312" t="s">
        <v>114</v>
      </c>
      <c r="D80" s="328">
        <v>1</v>
      </c>
      <c r="E80" s="117" t="s">
        <v>44</v>
      </c>
    </row>
    <row r="81" spans="2:5" ht="32.25" customHeight="1">
      <c r="B81" s="312" t="s">
        <v>331</v>
      </c>
      <c r="C81" s="312" t="s">
        <v>114</v>
      </c>
      <c r="D81" s="335">
        <v>1</v>
      </c>
      <c r="E81" s="117" t="s">
        <v>63</v>
      </c>
    </row>
    <row r="82" spans="2:5" ht="32.25" customHeight="1">
      <c r="B82" s="312" t="s">
        <v>332</v>
      </c>
      <c r="C82" s="312" t="s">
        <v>114</v>
      </c>
      <c r="D82" s="335">
        <v>1</v>
      </c>
    </row>
    <row r="83" spans="2:5" ht="32.25" customHeight="1">
      <c r="B83" s="312" t="s">
        <v>157</v>
      </c>
      <c r="C83" s="312" t="s">
        <v>63</v>
      </c>
      <c r="D83" s="328">
        <v>1</v>
      </c>
    </row>
    <row r="84" spans="2:5" ht="30" customHeight="1">
      <c r="B84" s="312" t="s">
        <v>163</v>
      </c>
      <c r="C84" s="312" t="s">
        <v>63</v>
      </c>
      <c r="D84" s="328">
        <v>1</v>
      </c>
    </row>
    <row r="85" spans="2:5" ht="30" customHeight="1">
      <c r="B85" s="312" t="s">
        <v>249</v>
      </c>
      <c r="C85" s="312" t="s">
        <v>114</v>
      </c>
      <c r="D85" s="328">
        <v>1</v>
      </c>
    </row>
    <row r="86" spans="2:5" ht="30" customHeight="1">
      <c r="B86" s="312" t="s">
        <v>250</v>
      </c>
      <c r="C86" s="312" t="s">
        <v>114</v>
      </c>
      <c r="D86" s="328">
        <v>1</v>
      </c>
    </row>
    <row r="87" spans="2:5" ht="30" customHeight="1">
      <c r="B87" s="312" t="s">
        <v>298</v>
      </c>
      <c r="C87" s="312" t="s">
        <v>115</v>
      </c>
      <c r="D87" s="328">
        <v>1</v>
      </c>
    </row>
    <row r="88" spans="2:5" ht="30" customHeight="1">
      <c r="B88" s="312" t="s">
        <v>158</v>
      </c>
      <c r="C88" s="312" t="s">
        <v>115</v>
      </c>
      <c r="D88" s="328">
        <v>1</v>
      </c>
    </row>
    <row r="89" spans="2:5" ht="30" customHeight="1">
      <c r="B89" s="312" t="s">
        <v>299</v>
      </c>
      <c r="C89" s="312" t="s">
        <v>44</v>
      </c>
      <c r="D89" s="328">
        <v>1</v>
      </c>
    </row>
    <row r="90" spans="2:5" ht="30" customHeight="1">
      <c r="B90" s="312" t="s">
        <v>300</v>
      </c>
      <c r="C90" s="312" t="s">
        <v>63</v>
      </c>
      <c r="D90" s="328">
        <v>1</v>
      </c>
    </row>
    <row r="91" spans="2:5" ht="30" customHeight="1">
      <c r="B91" s="312" t="s">
        <v>328</v>
      </c>
      <c r="C91" s="312" t="s">
        <v>329</v>
      </c>
      <c r="D91" s="333">
        <v>1</v>
      </c>
    </row>
    <row r="92" spans="2:5" ht="30" customHeight="1">
      <c r="B92" s="312" t="s">
        <v>49</v>
      </c>
      <c r="C92" s="312" t="s">
        <v>63</v>
      </c>
      <c r="D92" s="328">
        <v>1</v>
      </c>
    </row>
    <row r="93" spans="2:5" ht="30" customHeight="1">
      <c r="B93" s="312" t="s">
        <v>301</v>
      </c>
      <c r="C93" s="312" t="s">
        <v>114</v>
      </c>
      <c r="D93" s="328">
        <v>1</v>
      </c>
    </row>
    <row r="94" spans="2:5" ht="30" customHeight="1">
      <c r="B94" s="312" t="s">
        <v>302</v>
      </c>
      <c r="C94" s="312" t="s">
        <v>114</v>
      </c>
      <c r="D94" s="328">
        <v>1</v>
      </c>
    </row>
    <row r="95" spans="2:5" ht="30" customHeight="1">
      <c r="B95" s="312" t="s">
        <v>303</v>
      </c>
      <c r="C95" s="312" t="s">
        <v>114</v>
      </c>
      <c r="D95" s="328">
        <v>1</v>
      </c>
    </row>
    <row r="96" spans="2:5" ht="30" customHeight="1">
      <c r="B96" s="312" t="s">
        <v>252</v>
      </c>
      <c r="C96" s="312" t="s">
        <v>114</v>
      </c>
      <c r="D96" s="328">
        <v>1</v>
      </c>
    </row>
    <row r="97" spans="2:4" ht="30" customHeight="1">
      <c r="B97" s="312" t="s">
        <v>253</v>
      </c>
      <c r="C97" s="312" t="s">
        <v>114</v>
      </c>
      <c r="D97" s="328">
        <v>1</v>
      </c>
    </row>
    <row r="98" spans="2:4" ht="30" customHeight="1">
      <c r="B98" s="312" t="s">
        <v>309</v>
      </c>
      <c r="C98" s="312" t="s">
        <v>114</v>
      </c>
      <c r="D98" s="328">
        <v>1</v>
      </c>
    </row>
    <row r="99" spans="2:4" ht="30" customHeight="1">
      <c r="B99" s="312" t="s">
        <v>258</v>
      </c>
      <c r="C99" s="312" t="s">
        <v>63</v>
      </c>
      <c r="D99" s="328">
        <v>1</v>
      </c>
    </row>
    <row r="100" spans="2:4" ht="30" customHeight="1">
      <c r="B100" s="312" t="s">
        <v>259</v>
      </c>
      <c r="C100" s="312" t="s">
        <v>63</v>
      </c>
      <c r="D100" s="328">
        <v>1</v>
      </c>
    </row>
    <row r="101" spans="2:4" ht="30" customHeight="1">
      <c r="B101" s="312" t="s">
        <v>326</v>
      </c>
      <c r="C101" s="312" t="s">
        <v>115</v>
      </c>
      <c r="D101" s="332">
        <v>1</v>
      </c>
    </row>
    <row r="102" spans="2:4" ht="30" customHeight="1">
      <c r="B102" s="312" t="s">
        <v>304</v>
      </c>
      <c r="C102" s="312" t="s">
        <v>114</v>
      </c>
      <c r="D102" s="328">
        <v>1</v>
      </c>
    </row>
    <row r="103" spans="2:4" ht="30" customHeight="1">
      <c r="B103" s="312" t="s">
        <v>305</v>
      </c>
      <c r="C103" s="312" t="s">
        <v>114</v>
      </c>
      <c r="D103" s="328">
        <v>1</v>
      </c>
    </row>
    <row r="104" spans="2:4">
      <c r="B104" s="312" t="s">
        <v>306</v>
      </c>
      <c r="C104" s="312" t="s">
        <v>114</v>
      </c>
      <c r="D104" s="330">
        <v>1</v>
      </c>
    </row>
    <row r="105" spans="2:4">
      <c r="B105" s="312" t="s">
        <v>317</v>
      </c>
      <c r="C105" s="312" t="s">
        <v>114</v>
      </c>
      <c r="D105" s="328">
        <v>1</v>
      </c>
    </row>
  </sheetData>
  <sortState ref="B67:C90">
    <sortCondition ref="B67:B90"/>
  </sortState>
  <printOptions horizontalCentered="1" verticalCentered="1"/>
  <pageMargins left="0" right="0" top="0" bottom="0" header="0" footer="0"/>
  <pageSetup paperSize="9" scale="80" orientation="portrait" horizontalDpi="4294967293" r:id="rId1"/>
  <rowBreaks count="3" manualBreakCount="3">
    <brk id="32" max="16383" man="1"/>
    <brk id="51" max="16383" man="1"/>
    <brk id="7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21">
    <tabColor rgb="FF92D050"/>
  </sheetPr>
  <dimension ref="A13:D29"/>
  <sheetViews>
    <sheetView topLeftCell="A4" zoomScale="91" zoomScaleNormal="91" workbookViewId="0">
      <selection activeCell="C21" sqref="C21"/>
    </sheetView>
  </sheetViews>
  <sheetFormatPr defaultRowHeight="15"/>
  <cols>
    <col min="3" max="3" width="139.5703125" customWidth="1"/>
    <col min="4" max="4" width="56.5703125" customWidth="1"/>
    <col min="5" max="5" width="9.28515625" bestFit="1" customWidth="1"/>
  </cols>
  <sheetData>
    <row r="13" spans="3:4" ht="21">
      <c r="C13" s="15" t="s">
        <v>78</v>
      </c>
      <c r="D13">
        <v>1</v>
      </c>
    </row>
    <row r="14" spans="3:4" ht="21">
      <c r="C14" s="15" t="s">
        <v>79</v>
      </c>
      <c r="D14">
        <v>1</v>
      </c>
    </row>
    <row r="15" spans="3:4" ht="21">
      <c r="C15" s="15" t="s">
        <v>160</v>
      </c>
      <c r="D15">
        <v>1</v>
      </c>
    </row>
    <row r="16" spans="3:4" ht="21">
      <c r="C16" s="15" t="s">
        <v>64</v>
      </c>
      <c r="D16">
        <v>1</v>
      </c>
    </row>
    <row r="17" spans="1:4" ht="21">
      <c r="C17" s="15" t="s">
        <v>66</v>
      </c>
      <c r="D17">
        <v>1</v>
      </c>
    </row>
    <row r="18" spans="1:4" ht="21">
      <c r="C18" s="15" t="s">
        <v>65</v>
      </c>
      <c r="D18">
        <v>1</v>
      </c>
    </row>
    <row r="19" spans="1:4" ht="21">
      <c r="C19" s="15" t="s">
        <v>68</v>
      </c>
      <c r="D19">
        <v>1</v>
      </c>
    </row>
    <row r="20" spans="1:4" ht="21">
      <c r="C20" s="15" t="s">
        <v>67</v>
      </c>
      <c r="D20">
        <v>1</v>
      </c>
    </row>
    <row r="21" spans="1:4" ht="21">
      <c r="C21" s="15" t="s">
        <v>327</v>
      </c>
      <c r="D21">
        <v>1</v>
      </c>
    </row>
    <row r="24" spans="1:4" s="14" customFormat="1" ht="15.75">
      <c r="A24" s="14" t="s">
        <v>80</v>
      </c>
      <c r="B24"/>
      <c r="C24"/>
    </row>
    <row r="25" spans="1:4" ht="38.25" customHeight="1">
      <c r="B25" s="220">
        <v>1</v>
      </c>
      <c r="C25" s="221" t="str">
        <f>+IF('Dichiarazione Titoli di Studio'!B9&lt;&gt;"",IF('Dichiarazione Titoli di Studio'!I9&lt;&gt;"Sassari", CONCATENATE(B25,"-",D25,"-",'Dichiarazione Titoli di Studio'!B9," - ",'Dichiarazione Titoli di Studio'!E9), CONCATENATE(B25,"-",'Dichiarazione Titoli di Studio'!B9," - ",'Dichiarazione Titoli di Studio'!E9)), "")</f>
        <v/>
      </c>
      <c r="D25" t="str">
        <f>+IF( 'Dichiarazione Titoli di Studio'!I9="", "",  IF('Dichiarazione Titoli di Studio'!I9&lt;&gt;"Sassari",CONCATENATE("Università ",'Dichiarazione Titoli di Studio'!I9),""))</f>
        <v/>
      </c>
    </row>
    <row r="26" spans="1:4" ht="38.25" customHeight="1">
      <c r="B26" s="220">
        <v>2</v>
      </c>
      <c r="C26" s="221" t="str">
        <f>+IF('Dichiarazione Titoli di Studio'!B11&lt;&gt;"",IF('Dichiarazione Titoli di Studio'!I11&lt;&gt;"Sassari", CONCATENATE(B26,"-",D26,"-",'Dichiarazione Titoli di Studio'!B11," - ",'Dichiarazione Titoli di Studio'!E11), CONCATENATE(B26,"-",'Dichiarazione Titoli di Studio'!B11," - ",'Dichiarazione Titoli di Studio'!E11)), "")</f>
        <v/>
      </c>
      <c r="D26" t="str">
        <f>IF('Dichiarazione Titoli di Studio'!B11&lt;&gt;"", IF('Dichiarazione Titoli di Studio'!I11&lt;&gt;"Sassari",CONCATENATE("Università ",'Dichiarazione Titoli di Studio'!I11),""), "")</f>
        <v/>
      </c>
    </row>
    <row r="27" spans="1:4" ht="38.25" customHeight="1">
      <c r="B27" s="220">
        <v>3</v>
      </c>
      <c r="C27" s="221" t="str">
        <f>+IF('Dichiarazione Titoli di Studio'!B15&lt;&gt;"",IF('Dichiarazione Titoli di Studio'!I15&lt;&gt;"Sassari",CONCATENATE(B27,"-",D27,"-",'Dichiarazione Titoli di Studio'!B15," - ",'Dichiarazione Titoli di Studio'!E15),CONCATENATE(B27,"-",'Dichiarazione Titoli di Studio'!B15," - ",'Dichiarazione Titoli di Studio'!E15)), "")</f>
        <v/>
      </c>
      <c r="D27" t="str">
        <f>IF('Dichiarazione Titoli di Studio'!B11&lt;&gt;"", IF('Dichiarazione Titoli di Studio'!I15&lt;&gt;"Sassari",CONCATENATE("Università ",'Dichiarazione Titoli di Studio'!I15),""), "")</f>
        <v/>
      </c>
    </row>
    <row r="29" spans="1:4" ht="78.75" customHeight="1">
      <c r="C29" s="276"/>
    </row>
  </sheetData>
  <dataConsolid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31">
    <tabColor rgb="FF92D050"/>
  </sheetPr>
  <dimension ref="F4:J29"/>
  <sheetViews>
    <sheetView workbookViewId="0">
      <selection activeCell="J12" sqref="J12"/>
    </sheetView>
  </sheetViews>
  <sheetFormatPr defaultColWidth="9.140625" defaultRowHeight="15"/>
  <cols>
    <col min="1" max="1" width="9.7109375" style="10" bestFit="1" customWidth="1"/>
    <col min="2" max="5" width="9.140625" style="10"/>
    <col min="6" max="6" width="9.140625" style="10" customWidth="1"/>
    <col min="7" max="9" width="9.140625" style="10"/>
    <col min="10" max="10" width="13" style="10" customWidth="1"/>
    <col min="11" max="16384" width="9.140625" style="10"/>
  </cols>
  <sheetData>
    <row r="4" spans="6:10">
      <c r="F4" s="10" t="s">
        <v>81</v>
      </c>
    </row>
    <row r="11" spans="6:10">
      <c r="F11" s="10" t="s">
        <v>91</v>
      </c>
      <c r="J11" s="141">
        <v>44273</v>
      </c>
    </row>
    <row r="12" spans="6:10">
      <c r="F12" s="10" t="s">
        <v>92</v>
      </c>
      <c r="J12" s="141"/>
    </row>
    <row r="15" spans="6:10" ht="31.5">
      <c r="F15" s="142" t="s">
        <v>168</v>
      </c>
    </row>
    <row r="16" spans="6:10" ht="15.75">
      <c r="F16" s="16">
        <v>18</v>
      </c>
    </row>
    <row r="17" spans="6:6" ht="15.75">
      <c r="F17" s="16">
        <v>19</v>
      </c>
    </row>
    <row r="18" spans="6:6" ht="15.75">
      <c r="F18" s="16">
        <v>20</v>
      </c>
    </row>
    <row r="19" spans="6:6" ht="15.75">
      <c r="F19" s="16">
        <v>21</v>
      </c>
    </row>
    <row r="20" spans="6:6" ht="15.75">
      <c r="F20" s="16">
        <v>22</v>
      </c>
    </row>
    <row r="21" spans="6:6" ht="15.75">
      <c r="F21" s="16">
        <v>23</v>
      </c>
    </row>
    <row r="22" spans="6:6" ht="15.75">
      <c r="F22" s="16">
        <v>24</v>
      </c>
    </row>
    <row r="23" spans="6:6" ht="15.75">
      <c r="F23" s="16">
        <v>25</v>
      </c>
    </row>
    <row r="24" spans="6:6" ht="15.75">
      <c r="F24" s="16">
        <v>26</v>
      </c>
    </row>
    <row r="25" spans="6:6" ht="15.75">
      <c r="F25" s="16">
        <v>27</v>
      </c>
    </row>
    <row r="26" spans="6:6" ht="15.75">
      <c r="F26" s="16">
        <v>28</v>
      </c>
    </row>
    <row r="27" spans="6:6" ht="15.75">
      <c r="F27" s="16">
        <v>29</v>
      </c>
    </row>
    <row r="28" spans="6:6" ht="15.75">
      <c r="F28" s="16">
        <v>30</v>
      </c>
    </row>
    <row r="29" spans="6:6" ht="15.75">
      <c r="F29" s="16" t="s">
        <v>167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1:U74"/>
  <sheetViews>
    <sheetView topLeftCell="A28" zoomScale="70" zoomScaleNormal="70" workbookViewId="0">
      <selection activeCell="A78" activeCellId="1" sqref="B61 A78"/>
    </sheetView>
  </sheetViews>
  <sheetFormatPr defaultColWidth="9.140625" defaultRowHeight="15"/>
  <cols>
    <col min="1" max="1" width="9.5703125" style="10" customWidth="1"/>
    <col min="2" max="2" width="15.7109375" style="10" customWidth="1"/>
    <col min="3" max="3" width="22.42578125" style="10" customWidth="1"/>
    <col min="4" max="4" width="2" style="10" customWidth="1"/>
    <col min="5" max="5" width="40.5703125" style="10" customWidth="1"/>
    <col min="6" max="6" width="15.28515625" style="10" customWidth="1"/>
    <col min="7" max="7" width="19.140625" style="10" customWidth="1"/>
    <col min="8" max="8" width="21" style="10" customWidth="1"/>
    <col min="9" max="9" width="36.42578125" style="10" customWidth="1"/>
    <col min="10" max="10" width="26.7109375" style="10" customWidth="1"/>
    <col min="11" max="11" width="9.140625" style="10"/>
    <col min="12" max="12" width="12.5703125" style="10" customWidth="1"/>
    <col min="13" max="13" width="18.28515625" style="56" customWidth="1"/>
    <col min="14" max="14" width="21.85546875" style="56" customWidth="1"/>
    <col min="15" max="15" width="18.7109375" style="128" customWidth="1"/>
    <col min="16" max="16" width="23.140625" style="151" customWidth="1"/>
    <col min="17" max="20" width="9.140625" style="60"/>
    <col min="21" max="16384" width="9.140625" style="10"/>
  </cols>
  <sheetData>
    <row r="1" spans="1:20" s="16" customFormat="1" ht="24.75" customHeight="1">
      <c r="A1" s="98" t="s">
        <v>61</v>
      </c>
      <c r="B1" s="166"/>
      <c r="C1" s="166"/>
      <c r="D1" s="166"/>
      <c r="E1" s="166"/>
      <c r="F1" s="166"/>
      <c r="G1" s="166"/>
      <c r="H1" s="166"/>
      <c r="I1" s="166"/>
      <c r="J1" s="166"/>
      <c r="K1" s="91"/>
      <c r="L1" s="91"/>
      <c r="M1" s="92"/>
      <c r="N1" s="92"/>
      <c r="O1" s="127"/>
      <c r="P1" s="149"/>
      <c r="Q1" s="93"/>
      <c r="R1" s="94"/>
      <c r="S1" s="94"/>
      <c r="T1" s="94"/>
    </row>
    <row r="2" spans="1:20" s="16" customFormat="1" ht="24.75" customHeight="1">
      <c r="A2" s="98" t="s">
        <v>62</v>
      </c>
      <c r="B2" s="166"/>
      <c r="C2" s="166"/>
      <c r="D2" s="166"/>
      <c r="E2" s="166"/>
      <c r="F2" s="166"/>
      <c r="G2" s="166"/>
      <c r="H2" s="166"/>
      <c r="I2" s="166"/>
      <c r="J2" s="166"/>
      <c r="K2" s="91"/>
      <c r="L2" s="91"/>
      <c r="M2" s="92"/>
      <c r="N2" s="92"/>
      <c r="O2" s="127"/>
      <c r="P2" s="149"/>
      <c r="Q2" s="93"/>
      <c r="R2" s="94"/>
      <c r="S2" s="94"/>
      <c r="T2" s="94"/>
    </row>
    <row r="3" spans="1:20" s="16" customFormat="1" ht="24.75" customHeight="1">
      <c r="A3" s="167" t="s">
        <v>95</v>
      </c>
      <c r="B3" s="144"/>
      <c r="C3" s="144"/>
      <c r="D3" s="144"/>
      <c r="E3" s="144"/>
      <c r="F3" s="144"/>
      <c r="G3" s="144"/>
      <c r="H3" s="144"/>
      <c r="I3" s="144"/>
      <c r="J3" s="144"/>
      <c r="L3" s="55"/>
      <c r="M3" s="55"/>
      <c r="N3" s="127"/>
      <c r="O3" s="150"/>
      <c r="P3" s="94"/>
      <c r="Q3" s="94"/>
      <c r="R3" s="94"/>
      <c r="S3" s="94"/>
    </row>
    <row r="4" spans="1:20" s="16" customFormat="1" ht="24.75" customHeight="1">
      <c r="A4" s="167" t="s">
        <v>96</v>
      </c>
      <c r="B4" s="144"/>
      <c r="C4" s="144"/>
      <c r="D4" s="144"/>
      <c r="E4" s="144"/>
      <c r="F4" s="144"/>
      <c r="G4" s="144"/>
      <c r="H4" s="144"/>
      <c r="I4" s="144"/>
      <c r="J4" s="144"/>
      <c r="L4" s="55"/>
      <c r="M4" s="55"/>
      <c r="N4" s="127"/>
      <c r="O4" s="150"/>
      <c r="P4" s="94"/>
      <c r="Q4" s="94"/>
      <c r="R4" s="94"/>
      <c r="S4" s="94"/>
    </row>
    <row r="5" spans="1:20" ht="24.75" customHeight="1">
      <c r="A5" s="168" t="s">
        <v>170</v>
      </c>
      <c r="B5" s="144"/>
      <c r="C5" s="144"/>
      <c r="D5" s="144"/>
      <c r="E5" s="144"/>
      <c r="F5" s="144"/>
      <c r="G5" s="144"/>
      <c r="H5" s="144"/>
      <c r="I5" s="144"/>
      <c r="J5" s="143"/>
      <c r="L5" s="56"/>
      <c r="N5" s="128"/>
      <c r="O5" s="151"/>
      <c r="P5" s="60"/>
      <c r="T5" s="10"/>
    </row>
    <row r="6" spans="1:20" ht="24.75" customHeight="1">
      <c r="A6" s="13"/>
      <c r="L6" s="56"/>
      <c r="N6" s="128"/>
      <c r="O6" s="151"/>
      <c r="P6" s="60"/>
      <c r="T6" s="10"/>
    </row>
    <row r="7" spans="1:20" ht="24.75" customHeight="1">
      <c r="A7" s="59" t="s">
        <v>128</v>
      </c>
      <c r="L7" s="56"/>
      <c r="N7" s="128"/>
      <c r="O7" s="151"/>
      <c r="P7" s="60"/>
      <c r="T7" s="10"/>
    </row>
    <row r="8" spans="1:20" s="95" customFormat="1" ht="217.5" customHeight="1">
      <c r="A8" s="160" t="s">
        <v>159</v>
      </c>
      <c r="B8" s="379" t="s">
        <v>171</v>
      </c>
      <c r="C8" s="380"/>
      <c r="D8" s="164"/>
      <c r="E8" s="165" t="s">
        <v>172</v>
      </c>
      <c r="F8" s="336" t="s">
        <v>173</v>
      </c>
      <c r="G8" s="337"/>
      <c r="H8" s="165" t="s">
        <v>174</v>
      </c>
      <c r="K8" s="96"/>
      <c r="L8" s="96"/>
      <c r="M8" s="129"/>
      <c r="N8" s="152"/>
      <c r="O8" s="97"/>
      <c r="P8" s="97"/>
      <c r="Q8" s="97"/>
      <c r="R8" s="97"/>
    </row>
    <row r="9" spans="1:20" ht="45.75" customHeight="1">
      <c r="A9" s="98">
        <v>1</v>
      </c>
      <c r="B9" s="373" t="s">
        <v>160</v>
      </c>
      <c r="C9" s="374"/>
      <c r="D9" s="98"/>
      <c r="E9" s="169" t="s">
        <v>126</v>
      </c>
      <c r="F9" s="172" t="s">
        <v>77</v>
      </c>
      <c r="G9" s="171" t="s">
        <v>138</v>
      </c>
      <c r="H9" s="170">
        <v>40589</v>
      </c>
      <c r="I9" s="173"/>
      <c r="K9" s="56"/>
      <c r="L9" s="56"/>
      <c r="M9" s="128"/>
      <c r="N9" s="151"/>
      <c r="O9" s="60"/>
      <c r="P9" s="60"/>
      <c r="S9" s="10"/>
      <c r="T9" s="10"/>
    </row>
    <row r="10" spans="1:20" s="183" customFormat="1" ht="21" customHeight="1">
      <c r="A10" s="175"/>
      <c r="B10" s="176"/>
      <c r="C10" s="177"/>
      <c r="D10" s="175"/>
      <c r="E10" s="178"/>
      <c r="F10" s="179"/>
      <c r="G10" s="180"/>
      <c r="H10" s="181"/>
      <c r="I10" s="182"/>
      <c r="K10" s="184"/>
      <c r="L10" s="184"/>
      <c r="M10" s="185"/>
      <c r="N10" s="186"/>
      <c r="O10" s="187"/>
      <c r="P10" s="187"/>
      <c r="Q10" s="187"/>
      <c r="R10" s="187"/>
    </row>
    <row r="11" spans="1:20" s="183" customFormat="1" ht="21" customHeight="1">
      <c r="A11" s="175"/>
      <c r="B11" s="176"/>
      <c r="C11" s="177"/>
      <c r="D11" s="175"/>
      <c r="E11" s="178"/>
      <c r="F11" s="179"/>
      <c r="G11" s="180"/>
      <c r="H11" s="181"/>
      <c r="I11" s="182"/>
      <c r="K11" s="184"/>
      <c r="L11" s="184"/>
      <c r="M11" s="185"/>
      <c r="N11" s="186"/>
      <c r="O11" s="187"/>
      <c r="P11" s="187"/>
      <c r="Q11" s="187"/>
      <c r="R11" s="187"/>
    </row>
    <row r="12" spans="1:20" ht="45.75" customHeight="1">
      <c r="A12" s="98">
        <v>2</v>
      </c>
      <c r="B12" s="373" t="s">
        <v>66</v>
      </c>
      <c r="C12" s="374"/>
      <c r="D12" s="98"/>
      <c r="E12" s="169" t="s">
        <v>129</v>
      </c>
      <c r="F12" s="172" t="s">
        <v>77</v>
      </c>
      <c r="G12" s="171" t="s">
        <v>143</v>
      </c>
      <c r="H12" s="170">
        <v>40954</v>
      </c>
      <c r="I12" s="173" t="str">
        <f>+IF(AND(H12&lt;&gt;"",H12&lt;H9),"inserire il Titolo in una riga precedente, in ordine di tempo","")</f>
        <v/>
      </c>
      <c r="K12" s="56"/>
      <c r="L12" s="56"/>
      <c r="M12" s="128"/>
      <c r="N12" s="151"/>
      <c r="O12" s="60"/>
      <c r="P12" s="60"/>
      <c r="S12" s="10"/>
      <c r="T12" s="10"/>
    </row>
    <row r="13" spans="1:20" s="183" customFormat="1" ht="21" customHeight="1">
      <c r="A13" s="175"/>
      <c r="B13" s="176"/>
      <c r="C13" s="177"/>
      <c r="D13" s="175"/>
      <c r="E13" s="178"/>
      <c r="F13" s="179"/>
      <c r="G13" s="180"/>
      <c r="H13" s="181"/>
      <c r="I13" s="182"/>
      <c r="K13" s="184"/>
      <c r="L13" s="184"/>
      <c r="M13" s="185"/>
      <c r="N13" s="186"/>
      <c r="O13" s="187"/>
      <c r="P13" s="187"/>
      <c r="Q13" s="187"/>
      <c r="R13" s="187"/>
    </row>
    <row r="14" spans="1:20" s="183" customFormat="1" ht="21" customHeight="1">
      <c r="A14" s="175"/>
      <c r="B14" s="176"/>
      <c r="C14" s="177"/>
      <c r="D14" s="175"/>
      <c r="E14" s="178"/>
      <c r="F14" s="179"/>
      <c r="G14" s="180"/>
      <c r="H14" s="181"/>
      <c r="I14" s="182"/>
      <c r="K14" s="184"/>
      <c r="L14" s="184"/>
      <c r="M14" s="185"/>
      <c r="N14" s="186"/>
      <c r="O14" s="187"/>
      <c r="P14" s="187"/>
      <c r="Q14" s="187"/>
      <c r="R14" s="187"/>
    </row>
    <row r="15" spans="1:20" ht="45.75" customHeight="1">
      <c r="A15" s="98">
        <v>3</v>
      </c>
      <c r="B15" s="373" t="s">
        <v>65</v>
      </c>
      <c r="C15" s="374"/>
      <c r="D15" s="98"/>
      <c r="E15" s="169" t="s">
        <v>175</v>
      </c>
      <c r="F15" s="172" t="s">
        <v>77</v>
      </c>
      <c r="G15" s="171" t="s">
        <v>138</v>
      </c>
      <c r="H15" s="170">
        <v>43115</v>
      </c>
      <c r="I15" s="174" t="str">
        <f>IF(G15="",IF(G12="",IF(G9&lt;&gt;"",IF(G9&lt;&gt;"Sassari","L'ultimo titolo deve essere conseguito a Sassari",""),""),IF(G9="","Compilare prima la riga precedente",IF(G12&lt;&gt;"Sassari","L'ultimo titolo deve essere conseguito a Sassari",""))),IF(G12="","Compilare prima la riga precedente",IF(G15&lt;&gt;"Sassari","L'ultimo  titolo deve essere conseguito a Sassari","")))</f>
        <v/>
      </c>
      <c r="K15" s="56"/>
      <c r="L15" s="56"/>
      <c r="M15" s="128"/>
      <c r="N15" s="151"/>
      <c r="O15" s="60"/>
      <c r="P15" s="60"/>
      <c r="S15" s="10"/>
      <c r="T15" s="10"/>
    </row>
    <row r="16" spans="1:20" s="29" customFormat="1" ht="16.5" customHeight="1">
      <c r="D16" s="99"/>
      <c r="F16" s="38" t="str">
        <f>IF(AND(B15&lt;&gt;"",E15&lt;&gt;"",G15&lt;&gt;"",H15&lt;&gt;""),"",IF(OR(B15&lt;&gt;"",E15&lt;&gt;"",G15&lt;&gt;"",H15&lt;&gt;""),"Completare tutti i dati inseriti per il Titolo di Studio 3",""))</f>
        <v/>
      </c>
      <c r="G16" s="39" t="str">
        <f>+IF(AND(H15&lt;&gt;"",H15&lt;H12),"inserire il Titolo in una riga precedente, in ordine di tempo","")</f>
        <v/>
      </c>
      <c r="M16" s="54"/>
      <c r="N16" s="54"/>
      <c r="O16" s="130"/>
      <c r="P16" s="153"/>
      <c r="Q16" s="100"/>
      <c r="R16" s="100"/>
      <c r="S16" s="100"/>
      <c r="T16" s="100"/>
    </row>
    <row r="17" spans="1:21" s="29" customFormat="1" ht="16.5" customHeight="1">
      <c r="M17" s="54"/>
      <c r="N17" s="54"/>
      <c r="O17" s="130"/>
      <c r="P17" s="153"/>
      <c r="Q17" s="100"/>
      <c r="R17" s="100"/>
      <c r="S17" s="100"/>
      <c r="T17" s="100"/>
    </row>
    <row r="18" spans="1:21" s="16" customFormat="1" ht="27.75" customHeight="1">
      <c r="B18" s="381" t="s">
        <v>69</v>
      </c>
      <c r="C18" s="372"/>
      <c r="D18" s="372"/>
      <c r="E18" s="372"/>
      <c r="F18" s="372"/>
      <c r="G18" s="372"/>
      <c r="H18" s="372"/>
      <c r="I18" s="372"/>
      <c r="M18" s="55"/>
      <c r="N18" s="55"/>
      <c r="O18" s="127"/>
      <c r="P18" s="150"/>
      <c r="Q18" s="94"/>
      <c r="R18" s="94"/>
      <c r="S18" s="94"/>
      <c r="T18" s="94"/>
    </row>
    <row r="19" spans="1:21" s="16" customFormat="1" ht="27.75" customHeight="1">
      <c r="B19" s="371" t="s">
        <v>74</v>
      </c>
      <c r="C19" s="372"/>
      <c r="D19" s="372"/>
      <c r="E19" s="372"/>
      <c r="F19" s="372"/>
      <c r="G19" s="372"/>
      <c r="H19" s="372"/>
      <c r="I19" s="372"/>
      <c r="M19" s="55"/>
      <c r="N19" s="55"/>
      <c r="O19" s="127"/>
      <c r="P19" s="150"/>
      <c r="Q19" s="94"/>
      <c r="R19" s="94"/>
      <c r="S19" s="94"/>
      <c r="T19" s="94"/>
    </row>
    <row r="21" spans="1:21" s="61" customFormat="1" ht="29.25" customHeight="1">
      <c r="A21" s="68" t="s">
        <v>146</v>
      </c>
      <c r="M21" s="74"/>
      <c r="N21" s="74"/>
      <c r="O21" s="131"/>
      <c r="P21" s="154"/>
      <c r="Q21" s="101"/>
      <c r="R21" s="101"/>
      <c r="S21" s="101"/>
      <c r="T21" s="101"/>
    </row>
    <row r="22" spans="1:21" s="61" customFormat="1" ht="29.25" customHeight="1">
      <c r="A22" s="68" t="s">
        <v>162</v>
      </c>
      <c r="M22" s="74"/>
      <c r="N22" s="74"/>
      <c r="O22" s="131"/>
      <c r="P22" s="154"/>
      <c r="Q22" s="101"/>
      <c r="R22" s="101"/>
      <c r="S22" s="101"/>
      <c r="T22" s="101"/>
    </row>
    <row r="23" spans="1:21" ht="53.25" customHeight="1">
      <c r="A23" s="377" t="s">
        <v>166</v>
      </c>
      <c r="B23" s="378"/>
      <c r="C23" s="378"/>
      <c r="D23" s="378"/>
      <c r="E23" s="378"/>
      <c r="F23" s="378"/>
      <c r="G23" s="378"/>
      <c r="H23" s="378"/>
      <c r="I23" s="378"/>
    </row>
    <row r="24" spans="1:21" s="115" customFormat="1" ht="27" thickBot="1">
      <c r="A24" s="114" t="s">
        <v>70</v>
      </c>
      <c r="N24" s="113" t="s">
        <v>122</v>
      </c>
      <c r="O24" s="132" t="s">
        <v>123</v>
      </c>
      <c r="P24" s="155" t="s">
        <v>81</v>
      </c>
    </row>
    <row r="25" spans="1:21" ht="12.75" customHeight="1">
      <c r="A25" s="17"/>
      <c r="B25" s="18"/>
      <c r="C25" s="18"/>
      <c r="D25" s="18"/>
      <c r="E25" s="18"/>
      <c r="F25" s="18"/>
      <c r="G25" s="18"/>
      <c r="H25" s="18"/>
      <c r="I25" s="18"/>
      <c r="J25" s="18"/>
      <c r="K25" s="18"/>
      <c r="L25" s="19"/>
      <c r="M25" s="10"/>
      <c r="O25" s="133"/>
      <c r="P25" s="128"/>
      <c r="Q25" s="75"/>
      <c r="U25" s="60"/>
    </row>
    <row r="26" spans="1:21" s="109" customFormat="1" ht="44.25" customHeight="1">
      <c r="A26" s="103"/>
      <c r="B26" s="104" t="s">
        <v>106</v>
      </c>
      <c r="C26" s="105"/>
      <c r="D26" s="105"/>
      <c r="E26" s="105"/>
      <c r="F26" s="106" t="s">
        <v>75</v>
      </c>
      <c r="G26" s="106" t="s">
        <v>169</v>
      </c>
      <c r="H26" s="33" t="s">
        <v>105</v>
      </c>
      <c r="I26" s="106" t="s">
        <v>2</v>
      </c>
      <c r="J26" s="107" t="s">
        <v>97</v>
      </c>
      <c r="K26" s="105"/>
      <c r="L26" s="108"/>
      <c r="N26" s="110"/>
      <c r="O26" s="134"/>
      <c r="P26" s="156"/>
      <c r="Q26" s="111"/>
      <c r="R26" s="112"/>
      <c r="S26" s="112"/>
      <c r="T26" s="112"/>
      <c r="U26" s="112"/>
    </row>
    <row r="27" spans="1:21" ht="65.099999999999994" customHeight="1">
      <c r="A27" s="121" t="s">
        <v>0</v>
      </c>
      <c r="B27" s="365">
        <f>+'Dichiarazione Esami Sostenuti'!$B$12:$C$12</f>
        <v>0</v>
      </c>
      <c r="C27" s="365"/>
      <c r="D27" s="21"/>
      <c r="E27" s="21"/>
      <c r="F27" s="118">
        <f>+'Dichiarazione Esami Sostenuti'!B13</f>
        <v>0</v>
      </c>
      <c r="G27" s="118">
        <v>20</v>
      </c>
      <c r="H27" s="102">
        <v>8</v>
      </c>
      <c r="I27" s="70" t="s">
        <v>114</v>
      </c>
      <c r="J27" s="79" t="s">
        <v>81</v>
      </c>
      <c r="K27" s="40" t="str">
        <f>IF(AND(J27&lt;&gt;"",F27=""),"   Indicare un esame nella riga","")</f>
        <v/>
      </c>
      <c r="L27" s="41"/>
      <c r="M27" s="10"/>
      <c r="N27" s="57">
        <f xml:space="preserve"> IF(H27='CFU associabili'!$B$60, 6,IF(H27='CFU associabili'!$B$61,12,IF(H27&lt;&gt;"", IF(H27&lt;12, 6, 12),"")))</f>
        <v>6</v>
      </c>
      <c r="O27" s="133"/>
      <c r="P27" s="136">
        <f>IF(J27='Dati di input ammissibili'!$F$4, IF(H27='CFU associabili'!$B$60, 6,IF(H27='CFU associabili'!$B$61,12,H27)),"")</f>
        <v>8</v>
      </c>
      <c r="Q27" s="75"/>
      <c r="U27" s="60"/>
    </row>
    <row r="28" spans="1:21" ht="47.25" customHeight="1">
      <c r="A28" s="20"/>
      <c r="B28" s="382"/>
      <c r="C28" s="382"/>
      <c r="D28" s="77"/>
      <c r="E28" s="21"/>
      <c r="F28" s="71" t="str">
        <f>IF(AND(B27&lt;&gt;"",F27&lt;&gt;"",G27&lt;&gt;"",H27&lt;&gt;"",I27&lt;&gt;""),"",IF(OR(B27&lt;&gt;"",F27&lt;&gt;"",G27&lt;&gt;"",H27&lt;&gt;"",I27&lt;&gt;""),"Completare tutti i dati inseriti per l'Esame 1",""))</f>
        <v/>
      </c>
      <c r="G28" s="71"/>
      <c r="H28" s="120" t="str">
        <f>IF(AND(H27&gt;0,H27&lt;15), IF(I27="V.O.","CFU incompatibili con V.O. ", ""),"")</f>
        <v/>
      </c>
      <c r="I28" s="383" t="e">
        <f>IF(F27&lt;&gt;"", IF(AND(I27&lt;&gt;"",I27&lt;&gt;"V.O."), IF(I27&lt;&gt;VLOOKUP(F27,'Esami Riconoscibili (2)'!$B$3:$C$32,2,),"SSD non corrispondente a esame indicato",""),""),"")</f>
        <v>#N/A</v>
      </c>
      <c r="J28" s="383"/>
      <c r="K28" s="375" t="str">
        <f>+IF(H28="",IF(AND(LEFT(H27,4)&lt;&gt;I27,OR(LEFT(H27,4)="V.O.",I27="V.O.")),"indicare V.O. anche nel SSD",""),"")</f>
        <v/>
      </c>
      <c r="L28" s="376"/>
      <c r="M28" s="10"/>
      <c r="O28" s="133"/>
      <c r="P28" s="128"/>
      <c r="Q28" s="75"/>
      <c r="U28" s="60"/>
    </row>
    <row r="29" spans="1:21" ht="65.099999999999994" customHeight="1">
      <c r="A29" s="121" t="s">
        <v>1</v>
      </c>
      <c r="B29" s="365" t="s">
        <v>177</v>
      </c>
      <c r="C29" s="365"/>
      <c r="D29" s="21"/>
      <c r="E29" s="21"/>
      <c r="F29" s="118"/>
      <c r="G29" s="118"/>
      <c r="H29" s="102"/>
      <c r="I29" s="70"/>
      <c r="J29" s="79"/>
      <c r="K29" s="40" t="str">
        <f>IF(AND(J29&lt;&gt;"",F29=""),"   Indicare un esame nella riga","")</f>
        <v/>
      </c>
      <c r="L29" s="41"/>
      <c r="M29" s="10"/>
      <c r="N29" s="57" t="str">
        <f xml:space="preserve"> IF(H29='CFU associabili'!$B$60, 6,IF(H29='CFU associabili'!$B$61,12,IF(H29&lt;&gt;"", IF(H29&lt;12, 6, 12),"")))</f>
        <v/>
      </c>
      <c r="O29" s="133"/>
      <c r="P29" s="136" t="str">
        <f>IF(J29='Dati di input ammissibili'!$F$4, IF(H29='CFU associabili'!$B$60, 6,IF(H29='CFU associabili'!$B$61,12,H29)),"")</f>
        <v/>
      </c>
      <c r="Q29" s="75"/>
      <c r="U29" s="60"/>
    </row>
    <row r="30" spans="1:21" ht="47.25" customHeight="1">
      <c r="A30" s="20"/>
      <c r="B30" s="366" t="str">
        <f>+IF(AND(B27="",B29&lt;&gt;""),"Compilare prima la riga per Esame 1","")</f>
        <v/>
      </c>
      <c r="C30" s="366"/>
      <c r="D30" s="77"/>
      <c r="E30" s="21"/>
      <c r="F30" s="71" t="str">
        <f>IF(AND(B29&lt;&gt;"",F29&lt;&gt;"",G29&lt;&gt;"",H29&lt;&gt;"",I29&lt;&gt;""),"",IF(OR(B29&lt;&gt;"",F29&lt;&gt;"",G29&lt;&gt;"",H29&lt;&gt;"",I29&lt;&gt;""),"Completare tutti i dati inseriti per l'Esame 1",""))</f>
        <v>Completare tutti i dati inseriti per l'Esame 1</v>
      </c>
      <c r="G30" s="71"/>
      <c r="H30" s="120" t="str">
        <f>IF(AND(H29&gt;0,H29&lt;15), IF(I29="V.O.","CFU incompatibili con V.O. ", ""),"")</f>
        <v/>
      </c>
      <c r="I30" s="383" t="str">
        <f>IF(F29&lt;&gt;"", IF(AND(I29&lt;&gt;"",I29&lt;&gt;"V.O."), IF(I29&lt;&gt;VLOOKUP(F29,'Esami Riconoscibili (2)'!$B$3:$C$32,2,),"SSD non corrispondente a esame indicato",""),""),"")</f>
        <v/>
      </c>
      <c r="J30" s="383"/>
      <c r="K30" s="375" t="str">
        <f>+IF(H30="",IF(AND(LEFT(H29,4)&lt;&gt;I29,OR(LEFT(H29,4)="V.O.",I29="V.O.")),"indicare V.O. anche nel SSD",""),"")</f>
        <v/>
      </c>
      <c r="L30" s="376"/>
      <c r="M30" s="10"/>
      <c r="O30" s="135">
        <f>IF(SUM(N27:N29)&gt;0, SUM(N27:N29), "")</f>
        <v>6</v>
      </c>
      <c r="P30" s="128"/>
      <c r="Q30" s="75"/>
      <c r="U30" s="60"/>
    </row>
    <row r="31" spans="1:21" ht="36" customHeight="1" thickBot="1">
      <c r="A31" s="23"/>
      <c r="B31" s="24"/>
      <c r="C31" s="24"/>
      <c r="D31" s="24"/>
      <c r="E31" s="24"/>
      <c r="F31" s="31" t="str">
        <f>+IF(AND(F27&lt;&gt;"", F27=F29),"Uno stesso Esame si può indicare una sola volta", "")</f>
        <v>Uno stesso Esame si può indicare una sola volta</v>
      </c>
      <c r="G31" s="31"/>
      <c r="H31" s="24"/>
      <c r="I31" s="24"/>
      <c r="J31" s="24"/>
      <c r="K31" s="24"/>
      <c r="L31" s="69"/>
      <c r="M31" s="10"/>
      <c r="O31" s="133"/>
      <c r="P31" s="128"/>
      <c r="Q31" s="75"/>
      <c r="U31" s="60"/>
    </row>
    <row r="32" spans="1:21">
      <c r="M32" s="10"/>
      <c r="O32" s="133"/>
      <c r="P32" s="128"/>
      <c r="Q32" s="75"/>
      <c r="U32" s="60"/>
    </row>
    <row r="33" spans="1:21" s="115" customFormat="1" ht="27" thickBot="1">
      <c r="A33" s="114" t="s">
        <v>71</v>
      </c>
      <c r="N33" s="116"/>
      <c r="O33" s="132"/>
      <c r="P33" s="155"/>
    </row>
    <row r="34" spans="1:21" ht="12.75" customHeight="1">
      <c r="A34" s="17"/>
      <c r="B34" s="18"/>
      <c r="C34" s="18"/>
      <c r="D34" s="18"/>
      <c r="E34" s="18"/>
      <c r="F34" s="18"/>
      <c r="G34" s="18"/>
      <c r="H34" s="18"/>
      <c r="I34" s="18"/>
      <c r="J34" s="18"/>
      <c r="K34" s="18"/>
      <c r="L34" s="19"/>
      <c r="M34" s="10"/>
      <c r="O34" s="133"/>
      <c r="P34" s="128"/>
      <c r="Q34" s="75"/>
      <c r="U34" s="60"/>
    </row>
    <row r="35" spans="1:21" s="109" customFormat="1" ht="44.25" customHeight="1">
      <c r="A35" s="103"/>
      <c r="B35" s="104" t="s">
        <v>106</v>
      </c>
      <c r="C35" s="105"/>
      <c r="D35" s="105"/>
      <c r="E35" s="105"/>
      <c r="F35" s="106" t="s">
        <v>75</v>
      </c>
      <c r="G35" s="106" t="s">
        <v>169</v>
      </c>
      <c r="H35" s="33" t="s">
        <v>105</v>
      </c>
      <c r="I35" s="106" t="s">
        <v>2</v>
      </c>
      <c r="J35" s="107" t="s">
        <v>97</v>
      </c>
      <c r="K35" s="105"/>
      <c r="L35" s="108"/>
      <c r="N35" s="110"/>
      <c r="O35" s="134"/>
      <c r="P35" s="156"/>
      <c r="Q35" s="111"/>
      <c r="R35" s="112"/>
      <c r="S35" s="112"/>
      <c r="T35" s="112"/>
      <c r="U35" s="112"/>
    </row>
    <row r="36" spans="1:21" ht="65.099999999999994" customHeight="1">
      <c r="A36" s="121" t="s">
        <v>0</v>
      </c>
      <c r="B36" s="365" t="s">
        <v>130</v>
      </c>
      <c r="C36" s="365"/>
      <c r="D36" s="21"/>
      <c r="E36" s="21"/>
      <c r="F36" s="118" t="s">
        <v>154</v>
      </c>
      <c r="G36" s="118">
        <v>20</v>
      </c>
      <c r="H36" s="102" t="s">
        <v>99</v>
      </c>
      <c r="I36" s="70" t="s">
        <v>63</v>
      </c>
      <c r="J36" s="79"/>
      <c r="K36" s="30" t="str">
        <f>IF(AND(J36&lt;&gt;"",F36=""),"   Indicare un esame nella riga","")</f>
        <v/>
      </c>
      <c r="L36" s="22"/>
      <c r="M36" s="10"/>
      <c r="N36" s="57">
        <f xml:space="preserve"> IF(H36='CFU associabili'!$B$60, 6,IF(H36='CFU associabili'!$B$61,12,IF(H36&lt;&gt;"", IF(H36&lt;12, 6, 12),"")))</f>
        <v>12</v>
      </c>
      <c r="O36" s="133"/>
      <c r="P36" s="136" t="str">
        <f>IF(J36='Dati di input ammissibili'!$F$4, IF(H36='CFU associabili'!$B$60, 6,IF(H36='CFU associabili'!$B$61,12,H36)),"")</f>
        <v/>
      </c>
      <c r="Q36" s="75"/>
      <c r="U36" s="60"/>
    </row>
    <row r="37" spans="1:21" ht="47.25" customHeight="1">
      <c r="A37" s="20"/>
      <c r="B37" s="77"/>
      <c r="C37" s="77"/>
      <c r="D37" s="77"/>
      <c r="E37" s="21"/>
      <c r="F37" s="71" t="str">
        <f>IF(AND(B36&lt;&gt;"",F36&lt;&gt;"",G36&lt;&gt;"",H36&lt;&gt;"",I36&lt;&gt;""),"",IF(OR(B36&lt;&gt;"",F36&lt;&gt;"",G36&lt;&gt;"",H36&lt;&gt;"",I36&lt;&gt;""),"Completare tutti i dati inseriti per l'Esame 1",""))</f>
        <v/>
      </c>
      <c r="G37" s="32"/>
      <c r="H37" s="119" t="str">
        <f>IF(AND(H36&gt;0,H36&lt;15), IF(I36="V.O.","CFU incompatibili con V.O. ", ""),"")</f>
        <v/>
      </c>
      <c r="I37" s="369" t="str">
        <f>IF(F36&lt;&gt;"", IF(AND(I36&lt;&gt;"",I36&lt;&gt;"V.O."), IF(I36&lt;&gt;VLOOKUP(F36,'Esami Riconoscibili (2)'!$B$37:$C$51,2,),"SSD non corrispondente a esame indicato",""),""),"")</f>
        <v/>
      </c>
      <c r="J37" s="369"/>
      <c r="K37" s="367" t="str">
        <f>+IF(H37="",IF(AND(LEFT(H36,4)&lt;&gt;I36,OR(LEFT(H36,4)="V.O.",I36="V.O.")),"indicare V.O. anche nel SSD",""),"")</f>
        <v/>
      </c>
      <c r="L37" s="368"/>
      <c r="M37" s="10"/>
      <c r="O37" s="133"/>
      <c r="P37" s="128"/>
      <c r="Q37" s="75"/>
      <c r="U37" s="60"/>
    </row>
    <row r="38" spans="1:21" ht="65.099999999999994" customHeight="1">
      <c r="A38" s="121" t="s">
        <v>1</v>
      </c>
      <c r="B38" s="365"/>
      <c r="C38" s="365"/>
      <c r="D38" s="21"/>
      <c r="E38" s="21"/>
      <c r="F38" s="118"/>
      <c r="G38" s="118"/>
      <c r="H38" s="102"/>
      <c r="I38" s="70"/>
      <c r="J38" s="79"/>
      <c r="K38" s="30" t="str">
        <f>IF(AND(J38&lt;&gt;"",F38=""),"   Indicare un esame nella riga","")</f>
        <v/>
      </c>
      <c r="L38" s="22"/>
      <c r="M38" s="10"/>
      <c r="N38" s="57" t="str">
        <f xml:space="preserve"> IF(H38='CFU associabili'!$B$60, 6,IF(H38='CFU associabili'!$B$61,12,IF(H38&lt;&gt;"", IF(H38&lt;12, 6, 12),"")))</f>
        <v/>
      </c>
      <c r="O38" s="133"/>
      <c r="P38" s="136" t="str">
        <f>IF(J38='Dati di input ammissibili'!$F$4, IF(H38='CFU associabili'!$B$60, 6,IF(H38='CFU associabili'!$B$61,12,H38)),"")</f>
        <v/>
      </c>
      <c r="Q38" s="75"/>
      <c r="U38" s="60"/>
    </row>
    <row r="39" spans="1:21" ht="47.25" customHeight="1">
      <c r="A39" s="20"/>
      <c r="B39" s="366" t="str">
        <f>+IF(AND(B36="",B38&lt;&gt;""),"Compilare prima la riga per Esame 1","")</f>
        <v/>
      </c>
      <c r="C39" s="366"/>
      <c r="D39" s="77"/>
      <c r="E39" s="21"/>
      <c r="F39" s="71" t="str">
        <f>IF(AND(B38&lt;&gt;"",F38&lt;&gt;"",G38&lt;&gt;"",H38&lt;&gt;"",I38&lt;&gt;""),"",IF(OR(B38&lt;&gt;"",F38&lt;&gt;"",G38&lt;&gt;"",H38&lt;&gt;"",I38&lt;&gt;""),"Completare tutti i dati inseriti per l'Esame 1",""))</f>
        <v/>
      </c>
      <c r="G39" s="32"/>
      <c r="H39" s="119" t="str">
        <f>IF(AND(H38&gt;0,H38&lt;15), IF(I38="V.O.","CFU incompatibili con V.O. ", ""),"")</f>
        <v/>
      </c>
      <c r="I39" s="369" t="str">
        <f>IF(F38&lt;&gt;"", IF(AND(I38&lt;&gt;"",I38&lt;&gt;"V.O."), IF(I38&lt;&gt;VLOOKUP(F38,'Esami Riconoscibili (2)'!$B$37:$C$51,2,),"SSD non corrispondente a esame indicato",""),""),"")</f>
        <v/>
      </c>
      <c r="J39" s="369"/>
      <c r="K39" s="367" t="str">
        <f>+IF(H39="",IF(AND(LEFT(H38,4)&lt;&gt;I38,OR(LEFT(H38,4)="V.O.",I38="V.O.")),"indicare V.O. anche nel SSD",""),"")</f>
        <v/>
      </c>
      <c r="L39" s="370"/>
      <c r="M39" s="10"/>
      <c r="O39" s="135">
        <f>IF(SUM(N36:N38)&gt;0, SUM(N36:N38), "")</f>
        <v>12</v>
      </c>
      <c r="P39" s="128"/>
      <c r="Q39" s="75"/>
      <c r="U39" s="60"/>
    </row>
    <row r="40" spans="1:21" ht="36" customHeight="1" thickBot="1">
      <c r="A40" s="23"/>
      <c r="B40" s="34"/>
      <c r="C40" s="34"/>
      <c r="D40" s="27"/>
      <c r="E40" s="24"/>
      <c r="F40" s="31" t="str">
        <f>+IF(AND(F36&lt;&gt;"", F36=F38),"Uno stesso Esame si può indicare una sola volta", "")</f>
        <v/>
      </c>
      <c r="G40" s="31"/>
      <c r="H40" s="35"/>
      <c r="I40" s="35"/>
      <c r="J40" s="35"/>
      <c r="K40" s="36"/>
      <c r="L40" s="37"/>
      <c r="M40" s="10"/>
      <c r="O40" s="135"/>
      <c r="P40" s="128"/>
      <c r="Q40" s="75"/>
      <c r="U40" s="60"/>
    </row>
    <row r="41" spans="1:21">
      <c r="M41" s="10"/>
      <c r="O41" s="133"/>
      <c r="P41" s="128"/>
      <c r="Q41" s="75"/>
      <c r="U41" s="60"/>
    </row>
    <row r="42" spans="1:21" s="115" customFormat="1" ht="27" thickBot="1">
      <c r="A42" s="114" t="s">
        <v>72</v>
      </c>
      <c r="N42" s="116"/>
      <c r="O42" s="132"/>
      <c r="P42" s="155"/>
    </row>
    <row r="43" spans="1:21" ht="12.75" customHeight="1">
      <c r="A43" s="17"/>
      <c r="B43" s="18"/>
      <c r="C43" s="18"/>
      <c r="D43" s="18"/>
      <c r="E43" s="18"/>
      <c r="F43" s="18"/>
      <c r="G43" s="18"/>
      <c r="H43" s="18"/>
      <c r="I43" s="18"/>
      <c r="J43" s="18"/>
      <c r="K43" s="18"/>
      <c r="L43" s="19"/>
      <c r="M43" s="10"/>
      <c r="O43" s="133"/>
      <c r="P43" s="128"/>
      <c r="Q43" s="75"/>
      <c r="U43" s="60"/>
    </row>
    <row r="44" spans="1:21" s="109" customFormat="1" ht="44.25" customHeight="1">
      <c r="A44" s="103"/>
      <c r="B44" s="104" t="s">
        <v>106</v>
      </c>
      <c r="C44" s="105"/>
      <c r="D44" s="105"/>
      <c r="E44" s="105"/>
      <c r="F44" s="106" t="s">
        <v>75</v>
      </c>
      <c r="G44" s="106" t="s">
        <v>169</v>
      </c>
      <c r="H44" s="33" t="s">
        <v>105</v>
      </c>
      <c r="I44" s="106" t="s">
        <v>2</v>
      </c>
      <c r="J44" s="107" t="s">
        <v>97</v>
      </c>
      <c r="K44" s="105"/>
      <c r="L44" s="108"/>
      <c r="N44" s="110"/>
      <c r="O44" s="134"/>
      <c r="P44" s="156"/>
      <c r="Q44" s="111"/>
      <c r="R44" s="112"/>
      <c r="S44" s="112"/>
      <c r="T44" s="112"/>
      <c r="U44" s="112"/>
    </row>
    <row r="45" spans="1:21" ht="65.099999999999994" customHeight="1">
      <c r="A45" s="121" t="s">
        <v>0</v>
      </c>
      <c r="B45" s="365" t="s">
        <v>161</v>
      </c>
      <c r="C45" s="365"/>
      <c r="D45" s="21"/>
      <c r="E45" s="21"/>
      <c r="F45" s="118" t="s">
        <v>155</v>
      </c>
      <c r="G45" s="118">
        <v>24</v>
      </c>
      <c r="H45" s="102" t="s">
        <v>99</v>
      </c>
      <c r="I45" s="70" t="s">
        <v>63</v>
      </c>
      <c r="J45" s="79"/>
      <c r="K45" s="30" t="str">
        <f>IF(AND(J45&lt;&gt;"",F45=""),"   Indicare un esame nella riga","")</f>
        <v/>
      </c>
      <c r="L45" s="22"/>
      <c r="M45" s="10"/>
      <c r="N45" s="57">
        <f xml:space="preserve"> IF(H45='CFU associabili'!$B$60, 6,IF(H45='CFU associabili'!$B$61,12,IF(H45&lt;&gt;"", IF(H45&lt;12, 6, 12),"")))</f>
        <v>12</v>
      </c>
      <c r="O45" s="133"/>
      <c r="P45" s="136" t="str">
        <f>IF(J45='Dati di input ammissibili'!$F$4, IF(H45='CFU associabili'!$B$60, 6,IF(H45='CFU associabili'!$B$61,12,H45)),"")</f>
        <v/>
      </c>
      <c r="Q45" s="75"/>
      <c r="U45" s="60"/>
    </row>
    <row r="46" spans="1:21" ht="47.25" customHeight="1">
      <c r="A46" s="20"/>
      <c r="B46" s="77"/>
      <c r="C46" s="77"/>
      <c r="D46" s="77"/>
      <c r="E46" s="21"/>
      <c r="F46" s="71" t="str">
        <f>IF(AND(B45&lt;&gt;"",F45&lt;&gt;"",G45&lt;&gt;"",H45&lt;&gt;"",I45&lt;&gt;""),"",IF(OR(B45&lt;&gt;"",F45&lt;&gt;"",G45&lt;&gt;"",H45&lt;&gt;"",I45&lt;&gt;""),"Completare tutti i dati inseriti per l'Esame 1",""))</f>
        <v/>
      </c>
      <c r="G46" s="32"/>
      <c r="H46" s="119" t="str">
        <f>IF(AND(H45&gt;0,H45&lt;15), IF(I45="V.O.","CFU incompatibili con V.O. ", ""),"")</f>
        <v/>
      </c>
      <c r="I46" s="369" t="str">
        <f>IF(F45&lt;&gt;"", IF(AND(I45&lt;&gt;"",I45&lt;&gt;"V.O."), IF(I45&lt;&gt;VLOOKUP(F45,'Esami Riconoscibili (2)'!$B$56:$C$72,2,),"SSD non corrispondente a esame indicato",""),""),"")</f>
        <v/>
      </c>
      <c r="J46" s="369"/>
      <c r="K46" s="367" t="str">
        <f>+IF(H46="",IF(AND(LEFT(H45,4)&lt;&gt;I45,OR(LEFT(H45,4)="V.O.",I45="V.O.")),"indicare V.O. anche nel SSD",""),"")</f>
        <v/>
      </c>
      <c r="L46" s="368"/>
      <c r="M46" s="10"/>
      <c r="O46" s="133"/>
      <c r="P46" s="128"/>
      <c r="Q46" s="75"/>
      <c r="U46" s="60"/>
    </row>
    <row r="47" spans="1:21" ht="65.099999999999994" customHeight="1">
      <c r="A47" s="121" t="s">
        <v>1</v>
      </c>
      <c r="B47" s="365"/>
      <c r="C47" s="365"/>
      <c r="D47" s="21"/>
      <c r="E47" s="21"/>
      <c r="F47" s="118"/>
      <c r="G47" s="118"/>
      <c r="H47" s="102"/>
      <c r="I47" s="70"/>
      <c r="J47" s="79"/>
      <c r="K47" s="30" t="str">
        <f>IF(AND(J47&lt;&gt;"",F47=""),"   Indicare un esame nella riga","")</f>
        <v/>
      </c>
      <c r="L47" s="22"/>
      <c r="M47" s="10"/>
      <c r="N47" s="57" t="str">
        <f xml:space="preserve"> IF(H47='CFU associabili'!$B$60, 6,IF(H47='CFU associabili'!$B$61,12,IF(H47&lt;&gt;"", IF(H47&lt;12, 6, 12),"")))</f>
        <v/>
      </c>
      <c r="O47" s="133"/>
      <c r="P47" s="136" t="str">
        <f>IF(J47='Dati di input ammissibili'!$F$4, IF(H47='CFU associabili'!$B$60, 6,IF(H47='CFU associabili'!$B$61,12,H47)),"")</f>
        <v/>
      </c>
      <c r="Q47" s="75"/>
      <c r="U47" s="60"/>
    </row>
    <row r="48" spans="1:21" ht="47.25" customHeight="1">
      <c r="A48" s="20"/>
      <c r="B48" s="366" t="str">
        <f>+IF(AND(B45="",B47&lt;&gt;""),"Compilare prima la riga per Esame 1","")</f>
        <v/>
      </c>
      <c r="C48" s="366"/>
      <c r="D48" s="77"/>
      <c r="E48" s="21"/>
      <c r="F48" s="71" t="str">
        <f>IF(AND(B47&lt;&gt;"",F47&lt;&gt;"",G47&lt;&gt;"",H47&lt;&gt;"",I47&lt;&gt;""),"",IF(OR(B47&lt;&gt;"",F47&lt;&gt;"",G47&lt;&gt;"",H47&lt;&gt;"",I47&lt;&gt;""),"Completare tutti i dati inseriti per l'Esame 1",""))</f>
        <v/>
      </c>
      <c r="G48" s="32"/>
      <c r="H48" s="119" t="str">
        <f>IF(AND(H47&gt;0,H47&lt;15), IF(I47="V.O.","CFU incompatibili con V.O. ", ""),"")</f>
        <v/>
      </c>
      <c r="I48" s="369" t="str">
        <f>IF(F47&lt;&gt;"", IF(AND(I47&lt;&gt;"",I47&lt;&gt;"V.O."), IF(I47&lt;&gt;VLOOKUP(F47,'Esami Riconoscibili (2)'!$B$56:$C$72,2,),"SSD non corrispondente a esame indicato",""),""),"")</f>
        <v/>
      </c>
      <c r="J48" s="369"/>
      <c r="K48" s="367" t="str">
        <f>+IF(H48="",IF(AND(LEFT(H47,4)&lt;&gt;I47,OR(LEFT(H47,4)="V.O.",I47="V.O.")),"indicare V.O. anche nel SSD",""),"")</f>
        <v/>
      </c>
      <c r="L48" s="370"/>
      <c r="M48" s="10"/>
      <c r="O48" s="135">
        <f>IF(SUM(N45:N47)&gt;0, SUM(N45:N47), "")</f>
        <v>12</v>
      </c>
      <c r="P48" s="128"/>
      <c r="Q48" s="75"/>
      <c r="U48" s="60"/>
    </row>
    <row r="49" spans="1:21" ht="36" customHeight="1" thickBot="1">
      <c r="A49" s="23"/>
      <c r="B49" s="24"/>
      <c r="C49" s="24"/>
      <c r="D49" s="24"/>
      <c r="E49" s="24"/>
      <c r="F49" s="31" t="str">
        <f>+IF(AND(F45&lt;&gt;"", F45=F47),"Uno stesso Esame si può indicare una sola volta", "")</f>
        <v/>
      </c>
      <c r="G49" s="31"/>
      <c r="H49" s="24"/>
      <c r="I49" s="24"/>
      <c r="J49" s="24"/>
      <c r="K49" s="24"/>
      <c r="L49" s="69"/>
      <c r="M49" s="10"/>
      <c r="O49" s="133"/>
      <c r="P49" s="128"/>
      <c r="Q49" s="75"/>
      <c r="U49" s="60"/>
    </row>
    <row r="50" spans="1:21">
      <c r="M50" s="10"/>
      <c r="O50" s="133"/>
      <c r="P50" s="128"/>
      <c r="Q50" s="75"/>
      <c r="U50" s="60"/>
    </row>
    <row r="51" spans="1:21" s="115" customFormat="1" ht="27" thickBot="1">
      <c r="A51" s="114" t="s">
        <v>73</v>
      </c>
      <c r="N51" s="116"/>
      <c r="O51" s="132"/>
      <c r="P51" s="155"/>
    </row>
    <row r="52" spans="1:21" ht="12.75" customHeight="1">
      <c r="A52" s="17"/>
      <c r="B52" s="18"/>
      <c r="C52" s="18"/>
      <c r="D52" s="18"/>
      <c r="E52" s="18"/>
      <c r="F52" s="18"/>
      <c r="G52" s="18"/>
      <c r="H52" s="18"/>
      <c r="I52" s="18"/>
      <c r="J52" s="18"/>
      <c r="K52" s="18"/>
      <c r="L52" s="19"/>
      <c r="M52" s="10"/>
      <c r="O52" s="133"/>
      <c r="P52" s="128"/>
      <c r="Q52" s="75"/>
      <c r="U52" s="60"/>
    </row>
    <row r="53" spans="1:21" s="109" customFormat="1" ht="44.25" customHeight="1">
      <c r="A53" s="103"/>
      <c r="B53" s="104" t="s">
        <v>106</v>
      </c>
      <c r="C53" s="105"/>
      <c r="D53" s="105"/>
      <c r="E53" s="105"/>
      <c r="F53" s="106" t="s">
        <v>75</v>
      </c>
      <c r="G53" s="106" t="s">
        <v>169</v>
      </c>
      <c r="H53" s="33" t="s">
        <v>105</v>
      </c>
      <c r="I53" s="106" t="s">
        <v>2</v>
      </c>
      <c r="J53" s="107" t="s">
        <v>97</v>
      </c>
      <c r="K53" s="105"/>
      <c r="L53" s="108"/>
      <c r="N53" s="110"/>
      <c r="O53" s="134"/>
      <c r="P53" s="156"/>
      <c r="Q53" s="111"/>
      <c r="R53" s="112"/>
      <c r="S53" s="112"/>
      <c r="T53" s="112"/>
      <c r="U53" s="112"/>
    </row>
    <row r="54" spans="1:21" ht="65.099999999999994" customHeight="1">
      <c r="A54" s="121" t="s">
        <v>0</v>
      </c>
      <c r="B54" s="365" t="s">
        <v>130</v>
      </c>
      <c r="C54" s="365"/>
      <c r="D54" s="21"/>
      <c r="E54" s="21"/>
      <c r="F54" s="118" t="s">
        <v>152</v>
      </c>
      <c r="G54" s="118">
        <v>21</v>
      </c>
      <c r="H54" s="102">
        <v>12</v>
      </c>
      <c r="I54" s="70" t="s">
        <v>114</v>
      </c>
      <c r="J54" s="79"/>
      <c r="K54" s="30" t="str">
        <f>IF(AND(J54&lt;&gt;"",F54=""),"   Indicare un esame nella riga","")</f>
        <v/>
      </c>
      <c r="L54" s="22"/>
      <c r="M54" s="10"/>
      <c r="N54" s="57">
        <f xml:space="preserve"> IF(H54='CFU associabili'!$B$60, 6,IF(H54='CFU associabili'!$B$61,12,IF(H54&lt;&gt;"", IF(H54&lt;12, 6, 12),"")))</f>
        <v>12</v>
      </c>
      <c r="O54" s="133"/>
      <c r="P54" s="136" t="str">
        <f>IF(J54='Dati di input ammissibili'!$F$4, IF(H54='CFU associabili'!$B$60, 6,IF(H54='CFU associabili'!$B$61,12,H54)),"")</f>
        <v/>
      </c>
      <c r="Q54" s="75"/>
      <c r="U54" s="60"/>
    </row>
    <row r="55" spans="1:21" ht="47.25" customHeight="1">
      <c r="A55" s="20"/>
      <c r="B55" s="77"/>
      <c r="C55" s="77"/>
      <c r="D55" s="77"/>
      <c r="E55" s="21"/>
      <c r="F55" s="71" t="str">
        <f>IF(AND(B54&lt;&gt;"",F54&lt;&gt;"",G54&lt;&gt;"",H54&lt;&gt;"",I54&lt;&gt;""),"",IF(OR(B54&lt;&gt;"",F54&lt;&gt;"",G54&lt;&gt;"",H54&lt;&gt;"",I54&lt;&gt;""),"Completare tutti i dati inseriti per l'Esame 1",""))</f>
        <v/>
      </c>
      <c r="G55" s="32"/>
      <c r="H55" s="119" t="str">
        <f>IF(AND(H54&gt;0,H54&lt;15), IF(I54="V.O.","CFU incompatibili con V.O. ", ""),"")</f>
        <v/>
      </c>
      <c r="I55" s="369" t="e">
        <f>IF(F54&lt;&gt;"", IF(AND(I54&lt;&gt;"",I54&lt;&gt;"V.O."), IF(I54&lt;&gt;VLOOKUP(F54,'Esami Riconoscibili (2)'!$B$77:$C$105,2,),"SSD non corrispondente a esame indicato",""),""),"")</f>
        <v>#N/A</v>
      </c>
      <c r="J55" s="369"/>
      <c r="K55" s="367" t="str">
        <f>+IF(H55="",IF(AND(LEFT(H54,4)&lt;&gt;I54,OR(LEFT(H54,4)="V.O.",I54="V.O.")),"indicare V.O. anche nel SSD",""),"")</f>
        <v/>
      </c>
      <c r="L55" s="368"/>
      <c r="M55" s="10"/>
      <c r="O55" s="133"/>
      <c r="P55" s="128"/>
      <c r="Q55" s="75"/>
      <c r="U55" s="60"/>
    </row>
    <row r="56" spans="1:21" ht="65.099999999999994" customHeight="1">
      <c r="A56" s="121" t="s">
        <v>1</v>
      </c>
      <c r="B56" s="365"/>
      <c r="C56" s="365"/>
      <c r="D56" s="21"/>
      <c r="E56" s="21"/>
      <c r="F56" s="118"/>
      <c r="G56" s="118"/>
      <c r="H56" s="102"/>
      <c r="I56" s="70"/>
      <c r="J56" s="79"/>
      <c r="K56" s="30" t="str">
        <f>IF(AND(J56&lt;&gt;"",F56=""),"   Indicare un esame nella riga","")</f>
        <v/>
      </c>
      <c r="L56" s="22"/>
      <c r="M56" s="10"/>
      <c r="N56" s="57" t="str">
        <f xml:space="preserve"> IF(H56='CFU associabili'!$B$60, 6,IF(H56='CFU associabili'!$B$61,12,IF(H56&lt;&gt;"", IF(H56&lt;12, 6, 12),"")))</f>
        <v/>
      </c>
      <c r="O56" s="133"/>
      <c r="P56" s="136" t="str">
        <f>IF(J56='Dati di input ammissibili'!$F$4, IF(H56='CFU associabili'!$B$60, 6,IF(H56='CFU associabili'!$B$61,12,H56)),"")</f>
        <v/>
      </c>
      <c r="Q56" s="75"/>
      <c r="U56" s="60"/>
    </row>
    <row r="57" spans="1:21" ht="47.25" customHeight="1">
      <c r="A57" s="20"/>
      <c r="B57" s="366" t="str">
        <f>+IF(AND(B54="",B56&lt;&gt;""),"Compilare prima la riga per Esame 1","")</f>
        <v/>
      </c>
      <c r="C57" s="366"/>
      <c r="D57" s="77"/>
      <c r="E57" s="21"/>
      <c r="F57" s="71" t="str">
        <f>IF(AND(B56&lt;&gt;"",F56&lt;&gt;"",G56&lt;&gt;"",H56&lt;&gt;"",I56&lt;&gt;""),"",IF(OR(B56&lt;&gt;"",F56&lt;&gt;"",G56&lt;&gt;"",H56&lt;&gt;"",I56&lt;&gt;""),"Completare tutti i dati inseriti per l'Esame 1",""))</f>
        <v/>
      </c>
      <c r="G57" s="32"/>
      <c r="H57" s="119" t="str">
        <f>IF(AND(H56&gt;0,H56&lt;15), IF(I56="V.O.","CFU incompatibili con V.O. ", ""),"")</f>
        <v/>
      </c>
      <c r="I57" s="369" t="str">
        <f>IF(F56&lt;&gt;"", IF(AND(I56&lt;&gt;"",I56&lt;&gt;"V.O."), IF(I56&lt;&gt;VLOOKUP(F56,'Esami Riconoscibili (2)'!$B$77:$C$105,2,),"SSD non corrispondente a esame indicato",""),""),"")</f>
        <v/>
      </c>
      <c r="J57" s="369"/>
      <c r="K57" s="367" t="str">
        <f>+IF(H57="",IF(AND(LEFT(H56,4)&lt;&gt;I56,OR(LEFT(H56,4)="V.O.",I56="V.O.")),"indicare V.O. anche nel SSD",""),"")</f>
        <v/>
      </c>
      <c r="L57" s="370"/>
      <c r="M57" s="10"/>
      <c r="O57" s="135">
        <f>IF(SUM(N54:N56)&gt;0, SUM(N54:N56), "")</f>
        <v>12</v>
      </c>
      <c r="P57" s="128"/>
      <c r="Q57" s="75"/>
      <c r="U57" s="60"/>
    </row>
    <row r="58" spans="1:21" ht="36" customHeight="1" thickBot="1">
      <c r="A58" s="23"/>
      <c r="B58" s="24"/>
      <c r="C58" s="24"/>
      <c r="D58" s="24"/>
      <c r="E58" s="24"/>
      <c r="F58" s="31" t="str">
        <f>+IF(AND(F54&lt;&gt;"", F54=F56),"Uno stesso Esame si può indicare una sola volta", "")</f>
        <v/>
      </c>
      <c r="G58" s="31"/>
      <c r="H58" s="24"/>
      <c r="I58" s="24"/>
      <c r="J58" s="24"/>
      <c r="K58" s="24"/>
      <c r="L58" s="69"/>
      <c r="M58" s="10"/>
      <c r="O58" s="133"/>
      <c r="P58" s="128"/>
      <c r="Q58" s="75"/>
      <c r="U58" s="60"/>
    </row>
    <row r="60" spans="1:21" ht="21">
      <c r="A60" s="12" t="s">
        <v>147</v>
      </c>
      <c r="F60" s="75" t="b">
        <f>+IF(AND(F56="",F54="",F27="",F29=""),"",OR(AND(F27&lt;&gt;"",F27=F54),AND(F27&lt;&gt;"",F27=F56),AND(F29&lt;&gt;"",F29=F54),AND(F29&lt;&gt;"",F29=F56)))</f>
        <v>1</v>
      </c>
      <c r="G60" s="75" t="s">
        <v>145</v>
      </c>
      <c r="H60" s="75"/>
    </row>
    <row r="61" spans="1:21" ht="54.75" customHeight="1">
      <c r="C61" s="348" t="s">
        <v>144</v>
      </c>
      <c r="D61" s="349"/>
      <c r="E61" s="349"/>
      <c r="F61" s="342" t="str">
        <f>+IF(OR(F58&lt;&gt;"", F49&lt;&gt;"", F40&lt;&gt;"",F31&lt;&gt;"",F60),"Un Esame è stato indicato più volte, nello stesso ambito o tra ambiti diversi", "")</f>
        <v>Un Esame è stato indicato più volte, nello stesso ambito o tra ambiti diversi</v>
      </c>
      <c r="G61" s="343"/>
      <c r="H61" s="343"/>
      <c r="I61" s="343"/>
      <c r="J61" s="344"/>
    </row>
    <row r="62" spans="1:21" ht="54.75" customHeight="1">
      <c r="C62" s="350"/>
      <c r="D62" s="351"/>
      <c r="E62" s="351"/>
      <c r="F62" s="352" t="str">
        <f>+IF(AND(F54="", F49="", F40="",F31="",IF(F60&lt;&gt;"",NOT(F60),)),"Nota informativa :    ogni esame è stato inserito una sola volta, come richiesto.", "")</f>
        <v/>
      </c>
      <c r="G62" s="353"/>
      <c r="H62" s="353"/>
      <c r="I62" s="353"/>
      <c r="J62" s="354"/>
    </row>
    <row r="64" spans="1:21" ht="57.75" customHeight="1">
      <c r="C64" s="345" t="s">
        <v>121</v>
      </c>
      <c r="D64" s="343"/>
      <c r="E64" s="343"/>
      <c r="F64" s="76" t="str">
        <f>+IF(M64&lt;24,"Attenzione ! :  E' necessario indicare Esami corrispondenti ad un totale di almeno 24 CFU (1 semestrale è pari a 6 CFU)", "")</f>
        <v/>
      </c>
      <c r="G64" s="66"/>
      <c r="H64" s="66"/>
      <c r="I64" s="66"/>
      <c r="J64" s="67"/>
      <c r="M64" s="57">
        <f>SUM(N26:N56)</f>
        <v>42</v>
      </c>
    </row>
    <row r="65" spans="3:20" ht="87.75" customHeight="1">
      <c r="C65" s="346"/>
      <c r="D65" s="347"/>
      <c r="E65" s="347"/>
      <c r="F65" s="359" t="str">
        <f>+IF(M64&gt;23,CONCATENATE("Nota informativa :    Sono stati inseriti  esami per  ",M64,"  CFU.  
Si raccomanda di indicare esami per non oltre  24 CFU, in modo da semplificare il processo di ottenimento della certificazione."),"")</f>
        <v>Nota informativa :    Sono stati inseriti  esami per  42  CFU.  
Si raccomanda di indicare esami per non oltre  24 CFU, in modo da semplificare il processo di ottenimento della certificazione.</v>
      </c>
      <c r="G65" s="360"/>
      <c r="H65" s="360"/>
      <c r="I65" s="360"/>
      <c r="J65" s="361"/>
      <c r="M65" s="57"/>
    </row>
    <row r="66" spans="3:20" ht="19.5" customHeight="1">
      <c r="C66" s="11"/>
      <c r="F66" s="62"/>
    </row>
    <row r="67" spans="3:20" ht="33.75" customHeight="1">
      <c r="C67" s="345" t="s">
        <v>135</v>
      </c>
      <c r="D67" s="343"/>
      <c r="E67" s="343"/>
      <c r="F67" s="356" t="str">
        <f>+IF(N67&lt;3,"Attenzione ! :  E' necessario indicare Esami in almeno 3 ambiti", "")</f>
        <v/>
      </c>
      <c r="G67" s="357"/>
      <c r="H67" s="357"/>
      <c r="I67" s="357"/>
      <c r="J67" s="358"/>
      <c r="N67" s="57">
        <f>COUNTIF(O30:O57,"&gt;0")</f>
        <v>4</v>
      </c>
    </row>
    <row r="68" spans="3:20" ht="33.75" customHeight="1">
      <c r="C68" s="346"/>
      <c r="D68" s="347"/>
      <c r="E68" s="347"/>
      <c r="F68" s="352" t="str">
        <f>+IF(N67&gt;2, "Nota informativa :  Sono stati inseriti Esami  su un numero sufficiente di Ambiti (almeno 3) per completare l'istanza", "")</f>
        <v>Nota informativa :  Sono stati inseriti Esami  su un numero sufficiente di Ambiti (almeno 3) per completare l'istanza</v>
      </c>
      <c r="G68" s="353"/>
      <c r="H68" s="353"/>
      <c r="I68" s="353"/>
      <c r="J68" s="355"/>
    </row>
    <row r="69" spans="3:20">
      <c r="C69" s="61"/>
      <c r="F69" s="63"/>
    </row>
    <row r="70" spans="3:20" ht="61.5" customHeight="1">
      <c r="C70" s="341" t="s">
        <v>124</v>
      </c>
      <c r="D70" s="339"/>
      <c r="E70" s="339"/>
      <c r="F70" s="362" t="str">
        <f>+IF(N70&gt;1,"Nota informativa:  si possono riconoscere crediti pari a 12 CFU  in UNO SOLO dei 4 Ambiti. 
Si raccomanda di indicare 12 CFU SOLO IN UN AMBITO, in modo da semplificare il processo di ottenimento della certificazione.", "")</f>
        <v>Nota informativa:  si possono riconoscere crediti pari a 12 CFU  in UNO SOLO dei 4 Ambiti. 
Si raccomanda di indicare 12 CFU SOLO IN UN AMBITO, in modo da semplificare il processo di ottenimento della certificazione.</v>
      </c>
      <c r="G70" s="363"/>
      <c r="H70" s="363"/>
      <c r="I70" s="363"/>
      <c r="J70" s="364"/>
      <c r="N70" s="122">
        <f>COUNTIF(O30:O57,"&gt;=12")</f>
        <v>3</v>
      </c>
    </row>
    <row r="71" spans="3:20" s="124" customFormat="1">
      <c r="C71" s="123"/>
      <c r="F71" s="125"/>
      <c r="M71" s="56"/>
      <c r="N71" s="56"/>
      <c r="O71" s="128"/>
      <c r="P71" s="133"/>
      <c r="Q71" s="126"/>
      <c r="R71" s="126"/>
      <c r="S71" s="126"/>
      <c r="T71" s="126"/>
    </row>
    <row r="72" spans="3:20" ht="46.5" customHeight="1">
      <c r="C72" s="341" t="s">
        <v>125</v>
      </c>
      <c r="D72" s="339"/>
      <c r="E72" s="339"/>
      <c r="F72" s="338" t="str">
        <f>+IF(O72&gt;12,"Errore! :  è possibile riconoscere in modalità Teledicattica al massimo di 12 CFU", "")</f>
        <v/>
      </c>
      <c r="G72" s="339"/>
      <c r="H72" s="339"/>
      <c r="I72" s="339"/>
      <c r="J72" s="340"/>
      <c r="O72" s="136">
        <f>SUM(P26:P56)</f>
        <v>8</v>
      </c>
    </row>
    <row r="73" spans="3:20" ht="18" customHeight="1"/>
    <row r="74" spans="3:20" ht="50.25" customHeight="1"/>
  </sheetData>
  <sheetProtection selectLockedCells="1"/>
  <dataConsolidate/>
  <mergeCells count="49">
    <mergeCell ref="C70:E70"/>
    <mergeCell ref="B8:C8"/>
    <mergeCell ref="B18:I18"/>
    <mergeCell ref="I37:J37"/>
    <mergeCell ref="K37:L37"/>
    <mergeCell ref="B28:C28"/>
    <mergeCell ref="I39:J39"/>
    <mergeCell ref="K39:L39"/>
    <mergeCell ref="I46:J46"/>
    <mergeCell ref="K46:L46"/>
    <mergeCell ref="I48:J48"/>
    <mergeCell ref="K48:L48"/>
    <mergeCell ref="I55:J55"/>
    <mergeCell ref="I28:J28"/>
    <mergeCell ref="I30:J30"/>
    <mergeCell ref="K30:L30"/>
    <mergeCell ref="B19:I19"/>
    <mergeCell ref="B9:C9"/>
    <mergeCell ref="B12:C12"/>
    <mergeCell ref="B15:C15"/>
    <mergeCell ref="K28:L28"/>
    <mergeCell ref="B27:C27"/>
    <mergeCell ref="A23:I23"/>
    <mergeCell ref="B47:C47"/>
    <mergeCell ref="B30:C30"/>
    <mergeCell ref="B39:C39"/>
    <mergeCell ref="K55:L55"/>
    <mergeCell ref="I57:J57"/>
    <mergeCell ref="K57:L57"/>
    <mergeCell ref="B48:C48"/>
    <mergeCell ref="B54:C54"/>
    <mergeCell ref="B57:C57"/>
    <mergeCell ref="B56:C56"/>
    <mergeCell ref="F8:G8"/>
    <mergeCell ref="F72:J72"/>
    <mergeCell ref="C72:E72"/>
    <mergeCell ref="F61:J61"/>
    <mergeCell ref="C64:E65"/>
    <mergeCell ref="C67:E68"/>
    <mergeCell ref="C61:E62"/>
    <mergeCell ref="F62:J62"/>
    <mergeCell ref="F68:J68"/>
    <mergeCell ref="F67:J67"/>
    <mergeCell ref="F65:J65"/>
    <mergeCell ref="F70:J70"/>
    <mergeCell ref="B29:C29"/>
    <mergeCell ref="B36:C36"/>
    <mergeCell ref="B38:C38"/>
    <mergeCell ref="B45:C45"/>
  </mergeCells>
  <dataValidations disablePrompts="1" count="5">
    <dataValidation type="list" allowBlank="1" showInputMessage="1" showErrorMessage="1" sqref="I56" xr:uid="{00000000-0002-0000-0400-000000000000}">
      <formula1>$C$42:$C$47</formula1>
    </dataValidation>
    <dataValidation type="list" allowBlank="1" showInputMessage="1" showErrorMessage="1" error="Scegliere solo gli esami dell' elenco" prompt="Selezionare un esame dall'elenco a discesa" sqref="F38" xr:uid="{00000000-0002-0000-0400-000001000000}">
      <formula1>$B$26:$B$39</formula1>
    </dataValidation>
    <dataValidation type="list" allowBlank="1" showInputMessage="1" showErrorMessage="1" error="Scegliere solo gli esami dell' elenco" prompt="Selezionare un esame dall'elenco a discesa" sqref="F47" xr:uid="{00000000-0002-0000-0400-000002000000}">
      <formula1>$B$48:$B$64</formula1>
    </dataValidation>
    <dataValidation type="list" allowBlank="1" showInputMessage="1" showErrorMessage="1" error="Scegliere solo gli esami dell' elenco" prompt="Selezionare un esame dall'elenco a discesa" sqref="F56" xr:uid="{00000000-0002-0000-0400-000003000000}">
      <formula1>$B$68:$B$91</formula1>
    </dataValidation>
    <dataValidation type="list" allowBlank="1" showInputMessage="1" showErrorMessage="1" error="Scegliere solo gli esami dell' elenco" prompt="Selezionare un esame dall'elenco a discesa_x000a_" sqref="F29" xr:uid="{00000000-0002-0000-0400-000004000000}">
      <formula1>$B$3:$B$27</formula1>
    </dataValidation>
  </dataValidations>
  <pageMargins left="3.937007874015748E-2" right="3.937007874015748E-2" top="0.74803149606299213" bottom="0.74803149606299213" header="0.31496062992125984" footer="0.31496062992125984"/>
  <pageSetup paperSize="9" scale="53" fitToHeight="5" orientation="landscape" r:id="rId1"/>
  <rowBreaks count="2" manualBreakCount="2">
    <brk id="17" max="16383" man="1"/>
    <brk id="41" max="16383" man="1"/>
  </rowBreaks>
  <ignoredErrors>
    <ignoredError sqref="P27 N27 N29" unlockedFormula="1"/>
  </ignoredErrors>
  <extLst>
    <ext xmlns:x14="http://schemas.microsoft.com/office/spreadsheetml/2009/9/main" uri="{CCE6A557-97BC-4b89-ADB6-D9C93CAAB3DF}">
      <x14:dataValidations xmlns:xm="http://schemas.microsoft.com/office/excel/2006/main" disablePrompts="1" count="16">
        <x14:dataValidation type="list" allowBlank="1" showInputMessage="1" showErrorMessage="1" xr:uid="{00000000-0002-0000-0400-000005000000}">
          <x14:formula1>
            <xm:f>'CFU associabili'!$C$18:$C$23</xm:f>
          </x14:formula1>
          <xm:sqref>I27 I29</xm:sqref>
        </x14:dataValidation>
        <x14:dataValidation type="list" allowBlank="1" showInputMessage="1" showErrorMessage="1" xr:uid="{00000000-0002-0000-0400-000006000000}">
          <x14:formula1>
            <xm:f>'CFU associabili'!$C$2:$C$3</xm:f>
          </x14:formula1>
          <xm:sqref>I45 I47</xm:sqref>
        </x14:dataValidation>
        <x14:dataValidation type="list" allowBlank="1" showInputMessage="1" showErrorMessage="1" xr:uid="{00000000-0002-0000-0400-000007000000}">
          <x14:formula1>
            <xm:f>'CFU associabili'!$C$41:$C$46</xm:f>
          </x14:formula1>
          <xm:sqref>I54</xm:sqref>
        </x14:dataValidation>
        <x14:dataValidation type="list" allowBlank="1" showInputMessage="1" showErrorMessage="1" xr:uid="{00000000-0002-0000-0400-000008000000}">
          <x14:formula1>
            <xm:f>'CFU associabili'!$C$9:$C$12</xm:f>
          </x14:formula1>
          <xm:sqref>I36 I38</xm:sqref>
        </x14:dataValidation>
        <x14:dataValidation type="list" allowBlank="1" showInputMessage="1" showErrorMessage="1" error="Inserire il titolo di studio nel riquadro per la dichiarazione dei Titoli di Studio" xr:uid="{00000000-0002-0000-0400-000009000000}">
          <x14:formula1>
            <xm:f>'Dati Studi Universitari'!$C$25:$C$27</xm:f>
          </x14:formula1>
          <xm:sqref>B27:C27 B54:C54 B29:C29 B36:C36 B38:C38 B45:C45 B47:C47 B56:C56</xm:sqref>
        </x14:dataValidation>
        <x14:dataValidation type="list" allowBlank="1" showInputMessage="1" showErrorMessage="1" prompt="Selezionare Durata(se V.O.) o CFU da elenco" xr:uid="{00000000-0002-0000-0400-00000A000000}">
          <x14:formula1>
            <xm:f>'CFU associabili'!$B$60:$B$71</xm:f>
          </x14:formula1>
          <xm:sqref>H47 H27 H29 H36 H38 H45 H56 H54</xm:sqref>
        </x14:dataValidation>
        <x14:dataValidation type="list" allowBlank="1" showInputMessage="1" showErrorMessage="1" prompt="(Opzionale) compilare solo se l'Esame è stato sostenuto in modalità teledidattica _x000a_(NB: al massimo 12 CFU in tutta la dichiarazione)_x000a_" xr:uid="{00000000-0002-0000-0400-00000B000000}">
          <x14:formula1>
            <xm:f>'Dati di input ammissibili'!$F$4:$F$4</xm:f>
          </x14:formula1>
          <xm:sqref>J27 J29 J56 J38 J45 J47 J54 J36</xm:sqref>
        </x14:dataValidation>
        <x14:dataValidation type="list" allowBlank="1" showInputMessage="1" showErrorMessage="1" error="Scegliere solo gli esami dell' elenco" prompt="Selezionare un esame dall'elenco a discesa" xr:uid="{00000000-0002-0000-0400-00000C000000}">
          <x14:formula1>
            <xm:f>'Esami Riconoscibili (2)'!$B$37:$B$51</xm:f>
          </x14:formula1>
          <xm:sqref>F36</xm:sqref>
        </x14:dataValidation>
        <x14:dataValidation type="list" allowBlank="1" showInputMessage="1" showErrorMessage="1" error="Scegliere solo gli esami dell' elenco" prompt="Selezionare un esame dall'elenco a discesa" xr:uid="{00000000-0002-0000-0400-00000D000000}">
          <x14:formula1>
            <xm:f>'Esami Riconoscibili (2)'!$B$56:$B$72</xm:f>
          </x14:formula1>
          <xm:sqref>F45</xm:sqref>
        </x14:dataValidation>
        <x14:dataValidation type="list" allowBlank="1" showInputMessage="1" showErrorMessage="1" error="Scegliere solo gli esami dell' elenco" prompt="Selezionare un esame dall'elenco a discesa_x000a_" xr:uid="{00000000-0002-0000-0400-00000E000000}">
          <x14:formula1>
            <xm:f>'Dati di input ammissibili'!$F$16:$F$29</xm:f>
          </x14:formula1>
          <xm:sqref>G27 G29 G36 G38 G45 G47 G54 G56</xm:sqref>
        </x14:dataValidation>
        <x14:dataValidation type="list" allowBlank="1" showInputMessage="1" showErrorMessage="1" prompt="Scegliere il Titolo di Studi dall'elenco" xr:uid="{00000000-0002-0000-0400-00000F000000}">
          <x14:formula1>
            <xm:f>'Dati Studi Universitari'!$C$13:$C$20</xm:f>
          </x14:formula1>
          <xm:sqref>B9:C15</xm:sqref>
        </x14:dataValidation>
        <x14:dataValidation type="list" allowBlank="1" showInputMessage="1" showErrorMessage="1" error="Scegliere solo gli esami dell' elenco" prompt="Selezionare un esame dall'elenco a discesa_x000a_" xr:uid="{00000000-0002-0000-0400-000010000000}">
          <x14:formula1>
            <xm:f>'Esami Riconoscibili (2)'!$B$3:$B$32</xm:f>
          </x14:formula1>
          <xm:sqref>F27</xm:sqref>
        </x14:dataValidation>
        <x14:dataValidation type="list" allowBlank="1" showInputMessage="1" showErrorMessage="1" error="Scegliere solo gli esami dell' elenco" prompt="Selezionare un esame dall'elenco a discesa" xr:uid="{00000000-0002-0000-0400-000011000000}">
          <x14:formula1>
            <xm:f>'Esami Riconoscibili (2)'!$B$77:$B$105</xm:f>
          </x14:formula1>
          <xm:sqref>F54</xm:sqref>
        </x14:dataValidation>
        <x14:dataValidation type="date" operator="lessThan" allowBlank="1" showInputMessage="1" showErrorMessage="1" error="Il titolo deve essere conseguito entro la scadenza del bando" prompt="Va riportata la data di conseguimento titolo_x000a_o dell'ultimo esame superato indicato nella presente istanza_x000a_" xr:uid="{00000000-0002-0000-0400-000012000000}">
          <x14:formula1>
            <xm:f>'Dati di input ammissibili'!J12</xm:f>
          </x14:formula1>
          <xm:sqref>H9:H11</xm:sqref>
        </x14:dataValidation>
        <x14:dataValidation type="date" operator="lessThan" allowBlank="1" showInputMessage="1" showErrorMessage="1" error="Il titolo deve essere conseguito entro la scadenza del bando" prompt="Va riportata la data di conseguimento titolo_x000a_o dell'ultimo esame superato indicato nella presente istanza_x000a_" xr:uid="{00000000-0002-0000-0400-000013000000}">
          <x14:formula1>
            <xm:f>'Dati di input ammissibili'!J14</xm:f>
          </x14:formula1>
          <xm:sqref>H12:H14</xm:sqref>
        </x14:dataValidation>
        <x14:dataValidation type="date" operator="lessThan" allowBlank="1" showInputMessage="1" showErrorMessage="1" error="Il titolo deve essere conseguito entro la scadenza del bando" prompt="Va riportata la data di conseguimento titolo_x000a_o dell'ultimo esame superato indicato nella presente istanza_x000a_" xr:uid="{00000000-0002-0000-0400-000014000000}">
          <x14:formula1>
            <xm:f>'Dati di input ammissibili'!J16</xm:f>
          </x14:formula1>
          <xm:sqref>H15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4">
    <tabColor rgb="FFFFFFCC"/>
    <pageSetUpPr fitToPage="1"/>
  </sheetPr>
  <dimension ref="A1:AA29"/>
  <sheetViews>
    <sheetView topLeftCell="A10" zoomScale="85" zoomScaleNormal="85" workbookViewId="0">
      <selection activeCell="C19" sqref="C19:J19"/>
    </sheetView>
  </sheetViews>
  <sheetFormatPr defaultColWidth="9.140625" defaultRowHeight="15"/>
  <cols>
    <col min="1" max="1" width="33.140625" style="10" customWidth="1"/>
    <col min="2" max="2" width="5.85546875" style="10" customWidth="1"/>
    <col min="3" max="8" width="5.140625" style="10" customWidth="1"/>
    <col min="9" max="9" width="5.7109375" style="10" customWidth="1"/>
    <col min="10" max="17" width="5.140625" style="10" customWidth="1"/>
    <col min="18" max="20" width="9.140625" style="10"/>
    <col min="21" max="21" width="10.85546875" style="10" bestFit="1" customWidth="1"/>
    <col min="22" max="16384" width="9.140625" style="10"/>
  </cols>
  <sheetData>
    <row r="1" spans="1:22" ht="40.5" customHeight="1">
      <c r="A1" s="393" t="s">
        <v>319</v>
      </c>
      <c r="B1" s="394"/>
      <c r="C1" s="394"/>
      <c r="D1" s="394"/>
      <c r="E1" s="394"/>
      <c r="F1" s="394"/>
      <c r="G1" s="394"/>
      <c r="H1" s="394"/>
      <c r="I1" s="394"/>
      <c r="J1" s="394"/>
      <c r="K1" s="394"/>
      <c r="L1" s="394"/>
      <c r="M1" s="394"/>
      <c r="N1" s="394"/>
      <c r="O1" s="394"/>
      <c r="P1" s="394"/>
      <c r="Q1" s="394"/>
    </row>
    <row r="2" spans="1:22" ht="24" customHeight="1">
      <c r="A2" s="82"/>
      <c r="B2" s="138"/>
      <c r="C2" s="138"/>
      <c r="D2" s="138"/>
      <c r="E2" s="138"/>
      <c r="F2" s="138"/>
      <c r="G2" s="138"/>
      <c r="H2" s="138"/>
      <c r="I2" s="138"/>
      <c r="J2" s="138"/>
      <c r="K2" s="138"/>
      <c r="L2" s="395" t="s">
        <v>54</v>
      </c>
      <c r="M2" s="396"/>
      <c r="N2" s="396"/>
      <c r="O2" s="397"/>
      <c r="P2" s="397"/>
      <c r="Q2" s="398"/>
    </row>
    <row r="3" spans="1:22" ht="24" customHeight="1">
      <c r="A3" s="82"/>
      <c r="B3" s="138"/>
      <c r="C3" s="138"/>
      <c r="D3" s="138"/>
      <c r="E3" s="138"/>
      <c r="F3" s="138"/>
      <c r="G3" s="138"/>
      <c r="H3" s="138"/>
      <c r="I3" s="138"/>
      <c r="L3" s="395" t="s">
        <v>55</v>
      </c>
      <c r="M3" s="396"/>
      <c r="N3" s="396"/>
      <c r="O3" s="397"/>
      <c r="P3" s="397"/>
      <c r="Q3" s="398"/>
    </row>
    <row r="4" spans="1:22" ht="24" customHeight="1">
      <c r="A4" s="82"/>
      <c r="B4" s="138"/>
      <c r="C4" s="138"/>
      <c r="D4" s="138"/>
      <c r="E4" s="138"/>
      <c r="F4" s="138"/>
      <c r="G4" s="138"/>
      <c r="H4" s="138"/>
      <c r="I4" s="138"/>
      <c r="L4" s="395" t="s">
        <v>56</v>
      </c>
      <c r="M4" s="396"/>
      <c r="N4" s="396"/>
      <c r="O4" s="397"/>
      <c r="P4" s="397"/>
      <c r="Q4" s="398"/>
    </row>
    <row r="5" spans="1:22" s="16" customFormat="1" ht="71.25" customHeight="1">
      <c r="A5" s="399" t="s">
        <v>318</v>
      </c>
      <c r="B5" s="400"/>
      <c r="C5" s="400"/>
      <c r="D5" s="400"/>
      <c r="E5" s="400"/>
      <c r="F5" s="400"/>
      <c r="G5" s="400"/>
      <c r="H5" s="400"/>
      <c r="I5" s="400"/>
      <c r="J5" s="400"/>
      <c r="K5" s="400"/>
      <c r="L5" s="400"/>
      <c r="M5" s="400"/>
      <c r="N5" s="400"/>
      <c r="O5" s="400"/>
      <c r="P5" s="400"/>
      <c r="Q5" s="398"/>
    </row>
    <row r="6" spans="1:22" ht="21">
      <c r="A6" s="83" t="s">
        <v>57</v>
      </c>
      <c r="C6" s="384"/>
      <c r="D6" s="406"/>
      <c r="E6" s="406"/>
      <c r="F6" s="407"/>
      <c r="G6" s="407"/>
      <c r="H6" s="385"/>
      <c r="J6" s="384"/>
      <c r="K6" s="406"/>
      <c r="L6" s="406"/>
      <c r="M6" s="406"/>
      <c r="N6" s="407"/>
      <c r="O6" s="407"/>
      <c r="P6" s="407"/>
      <c r="Q6" s="385"/>
      <c r="V6" s="75" t="str">
        <f>+IF(OR(C6="",J6=""),"completare nome","")</f>
        <v>completare nome</v>
      </c>
    </row>
    <row r="7" spans="1:22" ht="21">
      <c r="A7" s="72"/>
      <c r="B7" s="137"/>
      <c r="C7" s="291" t="s">
        <v>195</v>
      </c>
      <c r="J7" s="291" t="s">
        <v>196</v>
      </c>
    </row>
    <row r="8" spans="1:22" ht="21">
      <c r="A8" s="83" t="s">
        <v>58</v>
      </c>
      <c r="B8" s="137"/>
      <c r="C8" s="384"/>
      <c r="D8" s="406"/>
      <c r="E8" s="406"/>
      <c r="F8" s="421"/>
      <c r="G8" s="422"/>
      <c r="I8" s="372" t="s">
        <v>179</v>
      </c>
      <c r="J8" s="386"/>
      <c r="K8" s="384"/>
      <c r="L8" s="385"/>
      <c r="N8" s="84" t="s">
        <v>180</v>
      </c>
      <c r="O8" s="408"/>
      <c r="P8" s="409"/>
      <c r="Q8" s="410"/>
    </row>
    <row r="9" spans="1:22" ht="21">
      <c r="A9" s="72"/>
      <c r="B9" s="137"/>
    </row>
    <row r="10" spans="1:22" ht="21">
      <c r="A10" s="72" t="s">
        <v>59</v>
      </c>
      <c r="B10" s="137"/>
      <c r="C10" s="384"/>
      <c r="D10" s="406"/>
      <c r="E10" s="406"/>
      <c r="F10" s="414"/>
    </row>
    <row r="11" spans="1:22" ht="21">
      <c r="A11" s="72"/>
      <c r="B11" s="137"/>
    </row>
    <row r="12" spans="1:22" ht="21">
      <c r="A12" s="83" t="s">
        <v>60</v>
      </c>
      <c r="C12" s="384"/>
      <c r="D12" s="406"/>
      <c r="E12" s="406"/>
      <c r="F12" s="385"/>
      <c r="G12" s="85"/>
      <c r="I12" s="372" t="s">
        <v>179</v>
      </c>
      <c r="J12" s="386"/>
      <c r="K12" s="384"/>
      <c r="L12" s="385"/>
      <c r="N12" s="372" t="s">
        <v>183</v>
      </c>
      <c r="O12" s="386"/>
      <c r="P12" s="387"/>
      <c r="Q12" s="388"/>
      <c r="T12" s="217"/>
    </row>
    <row r="13" spans="1:22" ht="21">
      <c r="A13" s="73"/>
      <c r="B13" s="16"/>
      <c r="C13" s="291" t="s">
        <v>200</v>
      </c>
    </row>
    <row r="14" spans="1:22" ht="21">
      <c r="A14" s="73"/>
      <c r="B14" s="213" t="s">
        <v>182</v>
      </c>
      <c r="D14" s="384"/>
      <c r="E14" s="407"/>
      <c r="F14" s="407"/>
      <c r="G14" s="407"/>
      <c r="H14" s="407"/>
      <c r="I14" s="407"/>
      <c r="J14" s="407"/>
      <c r="K14" s="421"/>
      <c r="L14" s="421"/>
      <c r="M14" s="422"/>
      <c r="O14" s="10" t="s">
        <v>181</v>
      </c>
      <c r="P14" s="384"/>
      <c r="Q14" s="385"/>
    </row>
    <row r="15" spans="1:22" ht="21">
      <c r="A15" s="73"/>
      <c r="B15" s="16"/>
    </row>
    <row r="16" spans="1:22" ht="15" customHeight="1">
      <c r="A16" s="83" t="s">
        <v>150</v>
      </c>
      <c r="B16" s="86"/>
      <c r="C16" s="411"/>
      <c r="D16" s="412"/>
      <c r="E16" s="412"/>
      <c r="F16" s="413"/>
      <c r="H16" s="415" t="s">
        <v>149</v>
      </c>
      <c r="I16" s="416"/>
      <c r="J16" s="416"/>
      <c r="K16" s="416"/>
      <c r="L16" s="417"/>
      <c r="M16" s="411"/>
      <c r="N16" s="412"/>
      <c r="O16" s="412"/>
      <c r="P16" s="413"/>
    </row>
    <row r="17" spans="1:27" ht="21">
      <c r="A17" s="87"/>
      <c r="B17" s="16"/>
    </row>
    <row r="18" spans="1:27" ht="15.75" customHeight="1">
      <c r="A18" s="73"/>
      <c r="L18" s="390" t="str">
        <f>+IFERROR(T18,"Manca '@' nell'indirizzo email")</f>
        <v/>
      </c>
      <c r="M18" s="391"/>
      <c r="N18" s="391"/>
      <c r="O18" s="391"/>
      <c r="P18" s="391"/>
      <c r="Q18" s="391"/>
      <c r="R18" s="392"/>
      <c r="T18" s="389" t="str">
        <f>IF(C19&lt;&gt;"",IF(AND(SEARCH("@",C19)&gt;0,SEARCH("@",C19)&lt;100),"","Inserire indirizzo email valido"),"")</f>
        <v/>
      </c>
      <c r="U18" s="389"/>
      <c r="V18" s="389"/>
      <c r="W18" s="389"/>
      <c r="X18" s="389"/>
      <c r="Y18" s="389"/>
      <c r="Z18" s="389"/>
      <c r="AA18" s="75" t="s">
        <v>100</v>
      </c>
    </row>
    <row r="19" spans="1:27" ht="25.5" customHeight="1">
      <c r="A19" s="83" t="s">
        <v>93</v>
      </c>
      <c r="B19" s="88"/>
      <c r="C19" s="418"/>
      <c r="D19" s="419"/>
      <c r="E19" s="419"/>
      <c r="F19" s="419"/>
      <c r="G19" s="419"/>
      <c r="H19" s="419"/>
      <c r="I19" s="419"/>
      <c r="J19" s="420"/>
      <c r="L19" s="390" t="str">
        <f>+IFERROR(T19,"Manca '.' nell'indirizzo email")</f>
        <v/>
      </c>
      <c r="M19" s="391"/>
      <c r="N19" s="391"/>
      <c r="O19" s="391"/>
      <c r="P19" s="391"/>
      <c r="Q19" s="391"/>
      <c r="R19" s="392"/>
      <c r="T19" s="389" t="str">
        <f>IF(C19&lt;&gt;"",IF(AND(SEARCH(".",C19)&gt;0,SEARCH(".",C19)&lt;100),"","Indirizzo email errato. Manca il '.' "),"")</f>
        <v/>
      </c>
      <c r="U19" s="389"/>
      <c r="V19" s="389"/>
      <c r="W19" s="389"/>
      <c r="X19" s="389"/>
      <c r="Y19" s="389"/>
      <c r="Z19" s="389"/>
      <c r="AA19" s="75" t="s">
        <v>101</v>
      </c>
    </row>
    <row r="20" spans="1:27" ht="19.5">
      <c r="A20" s="89"/>
      <c r="L20" s="390" t="str">
        <f>+IFERROR(T20,"")</f>
        <v/>
      </c>
      <c r="M20" s="391"/>
      <c r="N20" s="391"/>
      <c r="O20" s="391"/>
      <c r="P20" s="391"/>
      <c r="Q20" s="391"/>
      <c r="R20" s="392"/>
      <c r="T20" s="389" t="str">
        <f>IF(C19&lt;&gt;"",IF(AND(SEARCH(" ",C19)&gt;0,SEARCH(" ",C19)&lt;100),"Non usare 'spazio' nell'indirizzo"),"")</f>
        <v/>
      </c>
      <c r="U20" s="389"/>
      <c r="V20" s="389"/>
      <c r="W20" s="389"/>
      <c r="X20" s="389"/>
      <c r="Y20" s="389"/>
      <c r="Z20" s="389"/>
      <c r="AA20" s="75" t="s">
        <v>102</v>
      </c>
    </row>
    <row r="21" spans="1:27" ht="19.5">
      <c r="A21" s="89"/>
      <c r="T21" s="139"/>
      <c r="U21" s="139"/>
      <c r="V21" s="139"/>
      <c r="W21" s="139"/>
      <c r="X21" s="139"/>
      <c r="Y21" s="139"/>
      <c r="Z21" s="139"/>
      <c r="AA21" s="75"/>
    </row>
    <row r="22" spans="1:27">
      <c r="A22" s="404" t="s">
        <v>142</v>
      </c>
      <c r="B22" s="80"/>
      <c r="C22" s="80"/>
      <c r="D22" s="80"/>
      <c r="E22" s="80"/>
      <c r="F22" s="80"/>
      <c r="G22" s="80"/>
      <c r="H22" s="81"/>
      <c r="I22" s="81"/>
      <c r="J22" s="80"/>
      <c r="K22" s="81"/>
      <c r="L22" s="81"/>
      <c r="M22" s="80"/>
      <c r="N22" s="81"/>
      <c r="O22" s="81"/>
      <c r="P22" s="81"/>
      <c r="Q22" s="80"/>
    </row>
    <row r="23" spans="1:27" s="26" customFormat="1" ht="18.75">
      <c r="A23" s="405"/>
      <c r="B23" s="26" t="str">
        <f t="shared" ref="B23:E23" si="0">IF(B22&lt;&gt;"",IF(OR(AND(CODE(B22)&gt;64,CODE(B22)&lt;91),AND(CODE(B22)&gt;96, CODE(B22)&lt;123)),"","Nel Codice Fiscale è stato inserito un carattere non valido"),"")</f>
        <v/>
      </c>
      <c r="C23" s="26" t="str">
        <f t="shared" si="0"/>
        <v/>
      </c>
      <c r="D23" s="26" t="str">
        <f t="shared" si="0"/>
        <v/>
      </c>
      <c r="E23" s="26" t="str">
        <f t="shared" si="0"/>
        <v/>
      </c>
      <c r="F23" s="26" t="str">
        <f>IF(F22&lt;&gt;"",IF(OR(AND(CODE(F22)&gt;64,CODE(F22)&lt;91),AND(CODE(F22)&gt;96, CODE(F22)&lt;123)),"","Nel Codice Fiscale è stato inserito un carattere non valido"),"")</f>
        <v/>
      </c>
      <c r="G23" s="26" t="str">
        <f>IF(G22&lt;&gt;"",IF(OR(AND(CODE(G22)&gt;64,CODE(G22)&lt;91),AND(CODE(G22)&gt;96, CODE(G22)&lt;123)),"","Nel Codice Fiscale è stato inserito un carattere non valido"),"")</f>
        <v/>
      </c>
      <c r="H23" s="26" t="str">
        <f>+IF(AND(H22&lt;&gt;"",OR(H22&lt;0,H22&gt;9)),"inserire un numero da 0 a 9","")</f>
        <v/>
      </c>
      <c r="I23" s="26" t="str">
        <f>+IF(AND(I22&lt;&gt;"",OR(I22&lt;0,I22&gt;9)),"inserire un numero da 0 a 9","")</f>
        <v/>
      </c>
      <c r="J23" s="26" t="str">
        <f>IF(J22&lt;&gt;"",IF(OR(AND(CODE(J22)&gt;64,CODE(J22)&lt;91),AND(CODE(J22)&gt;96, CODE(J22)&lt;123)),"","Nel Codice Fiscale è stato inserito un carattere non valido"),"")</f>
        <v/>
      </c>
      <c r="K23" s="26" t="str">
        <f t="shared" ref="K23:L23" si="1">+IF(AND(K22&lt;&gt;"",OR(K22&lt;0,K22&gt;9)),"inserire un numero da 0 a 9","")</f>
        <v/>
      </c>
      <c r="L23" s="26" t="str">
        <f t="shared" si="1"/>
        <v/>
      </c>
      <c r="M23" s="26" t="str">
        <f>IF(M22&lt;&gt;"",IF(OR(AND(CODE(M22)&gt;64,CODE(M22)&lt;91),AND(CODE(M22)&gt;96, CODE(M22)&lt;123)),"","Nel Codice Fiscale è stato inserito un carattere non valido"),"")</f>
        <v/>
      </c>
      <c r="N23" s="26" t="str">
        <f t="shared" ref="N23:P23" si="2">+IF(AND(N22&lt;&gt;"",OR(N22&lt;0,N22&gt;9)),"inserire un numero da 0 a 9","")</f>
        <v/>
      </c>
      <c r="O23" s="26" t="str">
        <f t="shared" si="2"/>
        <v/>
      </c>
      <c r="P23" s="26" t="str">
        <f t="shared" si="2"/>
        <v/>
      </c>
      <c r="Q23" s="26" t="str">
        <f>IF(Q22&lt;&gt;"",IF(OR(AND(CODE(Q22)&gt;64,CODE(Q22)&lt;91),AND(CODE(Q22)&gt;96, CODE(Q22)&lt;123)),"","Nel Codice Fiscale è stato inserito un carattere non valido"),"")</f>
        <v/>
      </c>
    </row>
    <row r="24" spans="1:27" s="25" customFormat="1" ht="36" customHeight="1">
      <c r="A24" s="405"/>
      <c r="C24" s="403" t="str">
        <f>+IF(OR(B23&lt;&gt;"",C23&lt;&gt;"",D23&lt;&gt;"",E23&lt;&gt;"",F23&lt;&gt;"",G23&lt;&gt;"",H23&lt;&gt;"",I23&lt;&gt;"",J23&lt;&gt;"",K23&lt;&gt;"",L23&lt;&gt;"",M23&lt;&gt;"",N23&lt;&gt;"",O23&lt;&gt;"",P23&lt;&gt;"",Q23&lt;&gt;"",),"Nel Codice Fiscale, è stato inserito un carattere non corretto o più cifre in una casella","")</f>
        <v/>
      </c>
      <c r="D24" s="403"/>
      <c r="E24" s="403"/>
      <c r="F24" s="403"/>
      <c r="G24" s="403"/>
      <c r="H24" s="403"/>
      <c r="I24" s="403"/>
      <c r="J24" s="403"/>
      <c r="K24" s="403"/>
      <c r="L24" s="403"/>
      <c r="M24" s="403"/>
      <c r="N24" s="403"/>
      <c r="O24" s="403"/>
      <c r="P24" s="403"/>
      <c r="Q24" s="403"/>
      <c r="R24" s="402"/>
      <c r="S24" s="402"/>
    </row>
    <row r="25" spans="1:27" s="25" customFormat="1" ht="36" customHeight="1">
      <c r="A25" s="90"/>
      <c r="C25" s="403" t="str">
        <f>IF(OR(LEN(B22)&gt;1, LEN(C22)&gt;1, LEN(D22)&gt;1, LEN(E22)&gt;1, LEN(F22)&gt;1, LEN(G22)&gt;1,  LEN(J22)&gt;1, , LEN(M22)&gt;1, LEN(N22)&gt;1), "Nel Codice Fiscale  digitare un solo carattere in ogni casella", "")</f>
        <v/>
      </c>
      <c r="D25" s="402"/>
      <c r="E25" s="402"/>
      <c r="F25" s="402"/>
      <c r="G25" s="402"/>
      <c r="H25" s="402"/>
      <c r="I25" s="402"/>
      <c r="J25" s="402"/>
      <c r="K25" s="402"/>
      <c r="L25" s="402"/>
      <c r="M25" s="402"/>
      <c r="N25" s="402"/>
      <c r="O25" s="402"/>
      <c r="P25" s="402"/>
      <c r="Q25" s="402"/>
      <c r="R25" s="402"/>
      <c r="S25" s="402"/>
    </row>
    <row r="26" spans="1:27" ht="39" customHeight="1">
      <c r="C26" s="401" t="str">
        <f>IF(AND(C6&lt;&gt;"",J6&lt;&gt;"",C8&lt;&gt;"",K8&lt;&gt;"",O8&lt;&gt;"",C10&lt;&gt;"",C12&lt;&gt;"",K12&lt;&gt;"",P12&lt;&gt;"",D14&lt;&gt;"",P14&lt;&gt;"",C16&lt;&gt;"",M16&lt;&gt;"",C19&lt;&gt;"",B22&lt;&gt;"",C22&lt;&gt;"",D22&lt;&gt;"",E22&lt;&gt;"",F22&lt;&gt;"",G22&lt;&gt;"",H22&lt;&gt;"",I22&lt;&gt;"",J22&lt;&gt;"",K22&lt;&gt;"",L22&lt;&gt;"",M22&lt;&gt;"",N22&lt;&gt;"",O22&lt;&gt;"",P22&lt;&gt;"",Q22&lt;&gt;""),"",IF(OR(C6&lt;&gt;"",J6&lt;&gt;"",V6&lt;&gt;"",C8&lt;&gt;"",K8&lt;&gt;"",O8&lt;&gt;"",C10&lt;&gt;"",C12&lt;&gt;"",K12&lt;&gt;"",P12&lt;&gt;"",D14&lt;&gt;"",P14&lt;&gt;"",C16&lt;&gt;"",M16&lt;&gt;"",C19&lt;&gt;"",B22&lt;&gt;"",C22&lt;&gt;"",D22&lt;&gt;"",E22&lt;&gt;"",F22&lt;&gt;"",G22&lt;&gt;"",H22&lt;&gt;"",I22&lt;&gt;"",J22&lt;&gt;"",K22&lt;&gt;"",L22&lt;&gt;"",M22&lt;&gt;"",N22&lt;&gt;"",O22&lt;&gt;"",P22&lt;&gt;"",Q22&lt;&gt;""),"Compilare  con le informazioni richieste TUTTI  i campi con sfondo colorato",""))</f>
        <v>Compilare  con le informazioni richieste TUTTI  i campi con sfondo colorato</v>
      </c>
      <c r="D26" s="401"/>
      <c r="E26" s="401"/>
      <c r="F26" s="401"/>
      <c r="G26" s="401"/>
      <c r="H26" s="401"/>
      <c r="I26" s="401"/>
      <c r="J26" s="401"/>
      <c r="K26" s="401"/>
      <c r="L26" s="401"/>
      <c r="M26" s="401"/>
      <c r="N26" s="401"/>
      <c r="O26" s="401"/>
      <c r="P26" s="401"/>
      <c r="Q26" s="401"/>
      <c r="R26" s="402"/>
      <c r="S26" s="402"/>
    </row>
    <row r="29" spans="1:27" ht="18.75">
      <c r="B29" s="25"/>
      <c r="C29" s="25"/>
      <c r="D29" s="25"/>
      <c r="E29" s="25"/>
    </row>
  </sheetData>
  <sheetProtection algorithmName="SHA-512" hashValue="L49t0/xcgkt8UknYlbYz6aB538KXVMcQg6kpsWaClw15UTdkHheSFNzlwgGCo8jHBbbGkHbeQmkRtO0AZZPQog==" saltValue="jlxRQZoQ8DtN1264TfdiUg==" spinCount="100000" sheet="1" selectLockedCells="1"/>
  <dataConsolidate/>
  <mergeCells count="33">
    <mergeCell ref="C26:S26"/>
    <mergeCell ref="C25:S25"/>
    <mergeCell ref="A22:A24"/>
    <mergeCell ref="C6:H6"/>
    <mergeCell ref="J6:Q6"/>
    <mergeCell ref="O8:Q8"/>
    <mergeCell ref="C16:F16"/>
    <mergeCell ref="M16:P16"/>
    <mergeCell ref="C10:F10"/>
    <mergeCell ref="H16:L16"/>
    <mergeCell ref="C19:J19"/>
    <mergeCell ref="C8:G8"/>
    <mergeCell ref="C12:F12"/>
    <mergeCell ref="K8:L8"/>
    <mergeCell ref="D14:M14"/>
    <mergeCell ref="C24:S24"/>
    <mergeCell ref="A1:Q1"/>
    <mergeCell ref="L2:Q2"/>
    <mergeCell ref="L3:Q3"/>
    <mergeCell ref="L4:Q4"/>
    <mergeCell ref="A5:Q5"/>
    <mergeCell ref="T20:Z20"/>
    <mergeCell ref="T18:Z18"/>
    <mergeCell ref="T19:Z19"/>
    <mergeCell ref="L18:R18"/>
    <mergeCell ref="L19:R19"/>
    <mergeCell ref="L20:R20"/>
    <mergeCell ref="P14:Q14"/>
    <mergeCell ref="N12:O12"/>
    <mergeCell ref="K12:L12"/>
    <mergeCell ref="I8:J8"/>
    <mergeCell ref="I12:J12"/>
    <mergeCell ref="P12:Q12"/>
  </mergeCells>
  <dataValidations count="13">
    <dataValidation type="date" operator="lessThan" allowBlank="1" showInputMessage="1" showErrorMessage="1" sqref="O7" xr:uid="{00000000-0002-0000-0500-000000000000}">
      <formula1>36677</formula1>
    </dataValidation>
    <dataValidation type="textLength" showInputMessage="1" showErrorMessage="1" error="Inserire un numero telefonico valido  con almeno 10 cifre (simboli validi:  +, 0, 1, 2, 3, 4, 5, 6, 7, 8, 9, 0)" prompt="Indicare un numero di telefonia mobile._x000a_" sqref="C16:F16" xr:uid="{00000000-0002-0000-0500-000001000000}">
      <formula1>10</formula1>
      <formula2>13</formula2>
    </dataValidation>
    <dataValidation allowBlank="1" showInputMessage="1" showErrorMessage="1" prompt="digitare il proprio NOME anagrafico" sqref="C6:H6" xr:uid="{00000000-0002-0000-0500-000002000000}"/>
    <dataValidation allowBlank="1" showInputMessage="1" showErrorMessage="1" prompt="digitare il proprio COGNOME anagrafico" sqref="J6:Q6" xr:uid="{00000000-0002-0000-0500-000003000000}"/>
    <dataValidation type="date" operator="greaterThan" allowBlank="1" showInputMessage="1" showErrorMessage="1" prompt="Data di Nascita (formato GG/MM/AAAA )" sqref="O8:Q8" xr:uid="{00000000-0002-0000-0500-000004000000}">
      <formula1>18809</formula1>
    </dataValidation>
    <dataValidation allowBlank="1" showInputMessage="1" showErrorMessage="1" prompt="Città" sqref="C12:F12" xr:uid="{00000000-0002-0000-0500-000005000000}"/>
    <dataValidation allowBlank="1" showInputMessage="1" showErrorMessage="1" prompt="Luogo di Nascita_x000a_" sqref="C8:G8" xr:uid="{00000000-0002-0000-0500-000006000000}"/>
    <dataValidation type="textLength" operator="equal" allowBlank="1" showInputMessage="1" showErrorMessage="1" prompt="Provincia di Nascita - codice a 2 caratteri (es: SS, RM per Roma)_x000a_" sqref="K8:L8 K12:L12" xr:uid="{00000000-0002-0000-0500-000007000000}">
      <formula1>2</formula1>
    </dataValidation>
    <dataValidation allowBlank="1" showInputMessage="1" showErrorMessage="1" prompt="Indirizzo (specificando Via, Piazza, Viale, etc)_x000a_" sqref="D14:M14" xr:uid="{00000000-0002-0000-0500-000008000000}"/>
    <dataValidation type="textLength" showInputMessage="1" showErrorMessage="1" error="Inserire un numero telefonico valido  con almeno 9 cifre (simboli validi:  +, 0, 1, 2, 3, 4, 5, 6, 7, 8, 9, 0)" prompt="Indicare un numero di telefonia fissa o, in mancanza, indicare un numero di telefonia mobile possibilmente alternativo_x000a_" sqref="M16:P16" xr:uid="{00000000-0002-0000-0500-000009000000}">
      <formula1>9</formula1>
      <formula2>13</formula2>
    </dataValidation>
    <dataValidation allowBlank="1" showInputMessage="1" showErrorMessage="1" prompt="Indicare &quot;Italiana&quot; o altra nazionalità, se diversa" sqref="C10:F10" xr:uid="{00000000-0002-0000-0500-00000A000000}"/>
    <dataValidation operator="greaterThan" allowBlank="1" showInputMessage="1" showErrorMessage="1" prompt="Numero Civico" sqref="P14:Q14" xr:uid="{00000000-0002-0000-0500-00000B000000}"/>
    <dataValidation allowBlank="1" showInputMessage="1" showErrorMessage="1" prompt="CAP" sqref="P12:Q12" xr:uid="{00000000-0002-0000-0500-00000C000000}"/>
  </dataValidations>
  <pageMargins left="0.23622047244094491" right="0.23622047244094491" top="0.74803149606299213" bottom="0.74803149606299213" header="0.31496062992125984" footer="0.31496062992125984"/>
  <pageSetup paperSize="9" scale="76" orientation="landscape" r:id="rId1"/>
  <headerFooter>
    <oddFooter>&amp;L&amp;F&amp;C&amp;P di &amp;N&amp;R&amp;A</oddFooter>
  </headerFooter>
  <ignoredErrors>
    <ignoredError sqref="H23:I23 K23:L23 N23:P23" unlockedFormula="1"/>
    <ignoredError sqref="J23 M2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6">
    <tabColor rgb="FFFFFFCC"/>
  </sheetPr>
  <dimension ref="A1:T19"/>
  <sheetViews>
    <sheetView zoomScale="70" zoomScaleNormal="70" workbookViewId="0">
      <selection activeCell="B9" sqref="B9:C9"/>
    </sheetView>
  </sheetViews>
  <sheetFormatPr defaultColWidth="9.140625" defaultRowHeight="15"/>
  <cols>
    <col min="1" max="1" width="11.7109375" style="10" customWidth="1"/>
    <col min="2" max="2" width="17.5703125" style="10" customWidth="1"/>
    <col min="3" max="3" width="27.28515625" style="10" customWidth="1"/>
    <col min="4" max="4" width="2" style="10" customWidth="1"/>
    <col min="5" max="5" width="24.28515625" style="10" customWidth="1"/>
    <col min="6" max="6" width="17.28515625" style="10" customWidth="1"/>
    <col min="7" max="7" width="1.85546875" style="10" customWidth="1"/>
    <col min="8" max="8" width="19.85546875" style="10" customWidth="1"/>
    <col min="9" max="9" width="24.7109375" style="10" customWidth="1"/>
    <col min="10" max="10" width="26.7109375" style="10" customWidth="1"/>
    <col min="11" max="11" width="1.7109375" style="10" customWidth="1"/>
    <col min="12" max="12" width="12.5703125" style="10" customWidth="1"/>
    <col min="13" max="13" width="18.28515625" style="56" customWidth="1"/>
    <col min="14" max="14" width="21.85546875" style="56" customWidth="1"/>
    <col min="15" max="15" width="18.7109375" style="128" customWidth="1"/>
    <col min="16" max="16" width="23.140625" style="151" customWidth="1"/>
    <col min="17" max="20" width="9.140625" style="60"/>
    <col min="21" max="16384" width="9.140625" style="10"/>
  </cols>
  <sheetData>
    <row r="1" spans="1:20" s="16" customFormat="1" ht="15.75" customHeight="1">
      <c r="A1" s="432" t="s">
        <v>61</v>
      </c>
      <c r="B1" s="433"/>
      <c r="C1" s="433"/>
      <c r="D1" s="433"/>
      <c r="E1" s="433"/>
      <c r="F1" s="433"/>
      <c r="G1" s="433"/>
      <c r="H1" s="433"/>
      <c r="I1" s="433"/>
      <c r="J1" s="433"/>
      <c r="K1" s="144"/>
      <c r="L1" s="144"/>
      <c r="M1" s="92"/>
      <c r="N1" s="92"/>
      <c r="O1" s="127"/>
      <c r="P1" s="149"/>
      <c r="Q1" s="93"/>
      <c r="R1" s="94"/>
      <c r="S1" s="94"/>
      <c r="T1" s="94"/>
    </row>
    <row r="2" spans="1:20" s="16" customFormat="1" ht="15.75" customHeight="1">
      <c r="A2" s="432" t="s">
        <v>62</v>
      </c>
      <c r="B2" s="433"/>
      <c r="C2" s="433"/>
      <c r="D2" s="433"/>
      <c r="E2" s="433"/>
      <c r="F2" s="433"/>
      <c r="G2" s="433"/>
      <c r="H2" s="433"/>
      <c r="I2" s="433"/>
      <c r="J2" s="433"/>
      <c r="K2" s="144"/>
      <c r="L2" s="144"/>
      <c r="M2" s="92"/>
      <c r="N2" s="92"/>
      <c r="O2" s="127"/>
      <c r="P2" s="149"/>
      <c r="Q2" s="93"/>
      <c r="R2" s="94"/>
      <c r="S2" s="94"/>
      <c r="T2" s="94"/>
    </row>
    <row r="3" spans="1:20" s="16" customFormat="1" ht="55.5" customHeight="1">
      <c r="A3" s="336" t="s">
        <v>320</v>
      </c>
      <c r="B3" s="438"/>
      <c r="C3" s="438"/>
      <c r="D3" s="438"/>
      <c r="E3" s="438"/>
      <c r="F3" s="438"/>
      <c r="G3" s="438"/>
      <c r="H3" s="438"/>
      <c r="I3" s="438"/>
      <c r="J3" s="438"/>
      <c r="M3" s="55"/>
      <c r="N3" s="55"/>
      <c r="O3" s="127"/>
      <c r="P3" s="150"/>
      <c r="Q3" s="94"/>
      <c r="R3" s="94"/>
      <c r="S3" s="94"/>
      <c r="T3" s="94"/>
    </row>
    <row r="4" spans="1:20" s="16" customFormat="1" ht="3.75" customHeight="1">
      <c r="A4" s="162"/>
      <c r="M4" s="55"/>
      <c r="N4" s="55"/>
      <c r="O4" s="127"/>
      <c r="P4" s="150"/>
      <c r="Q4" s="94"/>
      <c r="R4" s="94"/>
      <c r="S4" s="94"/>
      <c r="T4" s="94"/>
    </row>
    <row r="5" spans="1:20" ht="36.75" customHeight="1">
      <c r="A5" s="434" t="s">
        <v>170</v>
      </c>
      <c r="B5" s="435"/>
      <c r="C5" s="435"/>
      <c r="D5" s="435"/>
      <c r="E5" s="435"/>
      <c r="F5" s="435"/>
      <c r="G5" s="435"/>
      <c r="H5" s="435"/>
      <c r="I5" s="435"/>
      <c r="J5" s="435"/>
    </row>
    <row r="6" spans="1:20" ht="5.25" customHeight="1">
      <c r="A6" s="163"/>
      <c r="B6" s="16"/>
      <c r="C6" s="16"/>
      <c r="D6" s="16"/>
      <c r="E6" s="16"/>
      <c r="F6" s="16"/>
      <c r="G6" s="16"/>
      <c r="H6" s="16"/>
      <c r="I6" s="16"/>
      <c r="J6" s="16"/>
    </row>
    <row r="7" spans="1:20" ht="21" customHeight="1">
      <c r="B7" s="59" t="s">
        <v>128</v>
      </c>
      <c r="C7" s="16"/>
      <c r="D7" s="16"/>
      <c r="E7" s="16"/>
      <c r="F7" s="16"/>
      <c r="G7" s="16"/>
      <c r="H7" s="16"/>
      <c r="I7" s="16"/>
      <c r="J7" s="16"/>
    </row>
    <row r="8" spans="1:20" s="95" customFormat="1" ht="113.25" customHeight="1">
      <c r="A8" s="189" t="s">
        <v>159</v>
      </c>
      <c r="B8" s="379" t="s">
        <v>321</v>
      </c>
      <c r="C8" s="380"/>
      <c r="D8" s="98"/>
      <c r="E8" s="379" t="s">
        <v>172</v>
      </c>
      <c r="F8" s="380"/>
      <c r="G8" s="98"/>
      <c r="H8" s="436" t="s">
        <v>208</v>
      </c>
      <c r="I8" s="437"/>
      <c r="J8" s="161" t="s">
        <v>230</v>
      </c>
      <c r="M8" s="96"/>
      <c r="N8" s="96"/>
      <c r="O8" s="129"/>
      <c r="P8" s="152"/>
      <c r="Q8" s="97"/>
      <c r="R8" s="97"/>
      <c r="S8" s="97"/>
      <c r="T8" s="97"/>
    </row>
    <row r="9" spans="1:20" ht="56.25" customHeight="1">
      <c r="A9" s="98">
        <v>1</v>
      </c>
      <c r="B9" s="373"/>
      <c r="C9" s="374"/>
      <c r="D9" s="98"/>
      <c r="E9" s="373"/>
      <c r="F9" s="374"/>
      <c r="G9" s="431" t="s">
        <v>77</v>
      </c>
      <c r="H9" s="431"/>
      <c r="I9" s="171"/>
      <c r="J9" s="170"/>
      <c r="K9" s="398"/>
      <c r="M9" s="56" t="e">
        <f>VLOOKUP(B9,'Dati Studi Universitari'!C13:D21,2,FALSE)</f>
        <v>#N/A</v>
      </c>
    </row>
    <row r="10" spans="1:20" s="29" customFormat="1" ht="14.25" customHeight="1">
      <c r="A10" s="58"/>
      <c r="B10" s="16"/>
      <c r="C10" s="16"/>
      <c r="D10" s="98"/>
      <c r="E10" s="429" t="str">
        <f>IF(AND(B9&lt;&gt;"",E9&lt;&gt;"",I9&lt;&gt;"",J9&lt;&gt;""),"",IF(OR(B9&lt;&gt;"",E9&lt;&gt;"",I9&lt;&gt;"",J9&lt;&gt;""),"Completare tutti i dati inseriti per il Titolo di Studio 1",""))</f>
        <v/>
      </c>
      <c r="F10" s="430"/>
      <c r="G10" s="428"/>
      <c r="H10" s="428"/>
      <c r="I10" s="428"/>
      <c r="J10" s="173"/>
      <c r="K10" s="392"/>
      <c r="M10" s="54"/>
      <c r="N10" s="54"/>
      <c r="O10" s="130"/>
      <c r="P10" s="153"/>
      <c r="Q10" s="100"/>
      <c r="R10" s="100"/>
      <c r="S10" s="100"/>
      <c r="T10" s="100"/>
    </row>
    <row r="11" spans="1:20" ht="56.25" customHeight="1">
      <c r="A11" s="98">
        <v>2</v>
      </c>
      <c r="B11" s="373"/>
      <c r="C11" s="374"/>
      <c r="D11" s="98"/>
      <c r="E11" s="373"/>
      <c r="F11" s="374"/>
      <c r="G11" s="431" t="s">
        <v>77</v>
      </c>
      <c r="H11" s="431"/>
      <c r="I11" s="188"/>
      <c r="J11" s="170"/>
      <c r="K11" s="398"/>
    </row>
    <row r="12" spans="1:20" s="29" customFormat="1" ht="14.25" customHeight="1">
      <c r="A12" s="58"/>
      <c r="B12" s="16"/>
      <c r="C12" s="16"/>
      <c r="D12" s="98"/>
      <c r="E12" s="427" t="str">
        <f>IF(I11&lt;&gt;"",IF(I9="","Compilare prima la riga precedente",""),"")</f>
        <v/>
      </c>
      <c r="F12" s="428"/>
      <c r="G12" s="428"/>
      <c r="H12" s="428"/>
      <c r="I12" s="428"/>
      <c r="J12" s="16"/>
      <c r="K12" s="392"/>
      <c r="M12" s="54"/>
      <c r="N12" s="54"/>
      <c r="O12" s="130"/>
      <c r="P12" s="153"/>
      <c r="Q12" s="100"/>
      <c r="R12" s="100"/>
      <c r="S12" s="100"/>
      <c r="T12" s="100"/>
    </row>
    <row r="13" spans="1:20" s="29" customFormat="1" ht="14.25" customHeight="1">
      <c r="A13" s="58"/>
      <c r="B13" s="16"/>
      <c r="C13" s="16"/>
      <c r="D13" s="98"/>
      <c r="E13" s="429" t="str">
        <f>IF(AND(B11&lt;&gt;"",E11&lt;&gt;"",I11&lt;&gt;"",J11&lt;&gt;""),"",IF(OR(B11&lt;&gt;"",E11&lt;&gt;"",I11&lt;&gt;"",J11&lt;&gt;""),"Completare tutti i dati inseriti per il Titolo di Studio 2",""))</f>
        <v/>
      </c>
      <c r="F13" s="430"/>
      <c r="G13" s="428"/>
      <c r="H13" s="428"/>
      <c r="I13" s="428"/>
      <c r="J13" s="16"/>
      <c r="K13" s="392"/>
      <c r="M13" s="54"/>
      <c r="N13" s="54"/>
      <c r="O13" s="130"/>
      <c r="P13" s="153"/>
      <c r="Q13" s="100"/>
      <c r="R13" s="100"/>
      <c r="S13" s="100"/>
      <c r="T13" s="100"/>
    </row>
    <row r="14" spans="1:20" s="29" customFormat="1" ht="14.25" customHeight="1">
      <c r="A14" s="58"/>
      <c r="B14" s="16"/>
      <c r="C14" s="16"/>
      <c r="D14" s="98"/>
      <c r="E14" s="427" t="str">
        <f>+IF(AND(J11&lt;&gt;"",J11&lt;J9),"Inserire il Titolo in una riga precedente, in ordine di tempo","")</f>
        <v/>
      </c>
      <c r="F14" s="428"/>
      <c r="G14" s="428"/>
      <c r="H14" s="428"/>
      <c r="I14" s="428"/>
      <c r="J14" s="16"/>
      <c r="K14" s="392"/>
      <c r="M14" s="54"/>
      <c r="N14" s="54"/>
      <c r="O14" s="130"/>
      <c r="P14" s="153"/>
      <c r="Q14" s="100"/>
      <c r="R14" s="100"/>
      <c r="S14" s="100"/>
      <c r="T14" s="100"/>
    </row>
    <row r="15" spans="1:20" ht="56.25" customHeight="1">
      <c r="A15" s="98">
        <v>3</v>
      </c>
      <c r="B15" s="373"/>
      <c r="C15" s="374"/>
      <c r="D15" s="98"/>
      <c r="E15" s="373"/>
      <c r="F15" s="374"/>
      <c r="G15" s="431" t="s">
        <v>77</v>
      </c>
      <c r="H15" s="431"/>
      <c r="I15" s="188"/>
      <c r="J15" s="170"/>
      <c r="K15" s="398"/>
    </row>
    <row r="16" spans="1:20" s="29" customFormat="1" ht="38.25" customHeight="1">
      <c r="D16" s="99"/>
      <c r="E16" s="425" t="str">
        <f>IF(I15="",IF(I11="",IF(I9&lt;&gt;"",IF(I9&lt;&gt;"Sassari","Avviso: Nel caso in cui si chieda il riconoscimento di tutti i 24 CFU l'ultimo titolo deve essere conseguito a Sassari",""),""),IF(I9="","Compilare prima la riga precedente",IF(I11&lt;&gt;"Sassari","Avviso: Nel caso in cui si chieda il riconoscimento di tutti i 24 CFU l'ultimo titolo deve essere conseguito a Sassari",""))),IF(I11="","Compilare prima la riga precedente",IF(I15&lt;&gt;"Sassari","Avviso: Nel caso in cui si chieda il riconoscimento di tutti i 24 CFU l'ultimo titolo deve essere conseguito a Sassari","")))</f>
        <v/>
      </c>
      <c r="F16" s="426"/>
      <c r="G16" s="426"/>
      <c r="H16" s="426"/>
      <c r="I16" s="426"/>
      <c r="K16" s="392"/>
      <c r="M16" s="54"/>
      <c r="N16" s="54"/>
      <c r="O16" s="130"/>
      <c r="P16" s="153"/>
      <c r="Q16" s="100"/>
      <c r="R16" s="100"/>
      <c r="S16" s="100"/>
      <c r="T16" s="100"/>
    </row>
    <row r="17" spans="2:20" s="29" customFormat="1" ht="23.25" customHeight="1">
      <c r="E17" s="427" t="str">
        <f>IF(AND(B15&lt;&gt;"",E15&lt;&gt;"",I15&lt;&gt;"",J15&lt;&gt;""),"",IF(OR(B15&lt;&gt;"",E15&lt;&gt;"",I15&lt;&gt;"",J15&lt;&gt;""),"Completare tutti i dati inseriti per il Titolo di Studio 3",""))</f>
        <v/>
      </c>
      <c r="F17" s="428"/>
      <c r="G17" s="428"/>
      <c r="H17" s="428"/>
      <c r="I17" s="428"/>
      <c r="K17" s="392"/>
      <c r="M17" s="54"/>
      <c r="N17" s="54"/>
      <c r="O17" s="130"/>
      <c r="P17" s="153"/>
      <c r="Q17" s="100"/>
      <c r="R17" s="100"/>
      <c r="S17" s="100"/>
      <c r="T17" s="100"/>
    </row>
    <row r="18" spans="2:20" ht="21.75" customHeight="1">
      <c r="E18" s="427" t="str">
        <f>+IF(AND(J15&lt;&gt;"",J15&lt;J11),"Inserire il Titolo in una riga precedente, in ordine di tempo dal meno recente al più recente","")</f>
        <v/>
      </c>
      <c r="F18" s="428"/>
      <c r="G18" s="428"/>
      <c r="H18" s="428"/>
      <c r="I18" s="428"/>
      <c r="K18" s="392"/>
    </row>
    <row r="19" spans="2:20" ht="101.25" customHeight="1">
      <c r="B19" s="423" t="str">
        <f>+IF(B9&lt;&gt;"", IF(IFERROR(M9,"error")&lt;&gt;1,"ATTENZIONE  se non appare anche una finestra con messaggio di errore di Excel, allora  SI STA COMPILANDO LA RICHESTA CON UNA VERSIONE NON CORRETTA DI EXCEL - Controllare i requisiti di sistema come da specifica o contattare didattica.scienze@uniss.it",""),"")</f>
        <v/>
      </c>
      <c r="C19" s="424"/>
      <c r="D19" s="424"/>
      <c r="E19" s="424"/>
      <c r="F19" s="424"/>
      <c r="G19" s="424"/>
      <c r="H19" s="424"/>
      <c r="I19" s="424"/>
      <c r="J19" s="424"/>
    </row>
  </sheetData>
  <sheetProtection algorithmName="SHA-512" hashValue="E2ZJBEaW3HbjlUXGG3MFtRtgU+h6Qv1xS9xlrEcsaTBUo9gOpGyaAzN0J0cxGXiZb24Kr27ANXulwsvy57CqOA==" saltValue="e2toY89KUOJpbP53yyhgvA==" spinCount="100000" sheet="1" selectLockedCells="1"/>
  <dataConsolidate/>
  <mergeCells count="27">
    <mergeCell ref="E13:I13"/>
    <mergeCell ref="A1:J1"/>
    <mergeCell ref="A2:J2"/>
    <mergeCell ref="B8:C8"/>
    <mergeCell ref="E8:F8"/>
    <mergeCell ref="B9:C9"/>
    <mergeCell ref="E9:F9"/>
    <mergeCell ref="G9:H9"/>
    <mergeCell ref="A5:J5"/>
    <mergeCell ref="H8:I8"/>
    <mergeCell ref="A3:J3"/>
    <mergeCell ref="B19:J19"/>
    <mergeCell ref="K9:K10"/>
    <mergeCell ref="K11:K14"/>
    <mergeCell ref="K15:K18"/>
    <mergeCell ref="E16:I16"/>
    <mergeCell ref="E17:I17"/>
    <mergeCell ref="E18:I18"/>
    <mergeCell ref="E10:I10"/>
    <mergeCell ref="B11:C11"/>
    <mergeCell ref="E11:F11"/>
    <mergeCell ref="G11:H11"/>
    <mergeCell ref="B15:C15"/>
    <mergeCell ref="E15:F15"/>
    <mergeCell ref="G15:H15"/>
    <mergeCell ref="E14:I14"/>
    <mergeCell ref="E12:I12"/>
  </mergeCells>
  <pageMargins left="3.937007874015748E-2" right="3.937007874015748E-2" top="0.74803149606299213" bottom="0.74803149606299213" header="0.31496062992125984" footer="0.31496062992125984"/>
  <pageSetup paperSize="9" scale="53" fitToHeight="5" orientation="landscape" r:id="rId1"/>
  <headerFooter>
    <oddFooter>&amp;L&amp;F&amp;C&amp;P di &amp;N&amp;R&amp;A</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Scegliere il Titolo di Studi dall'elenco" xr:uid="{00000000-0002-0000-0600-000000000000}">
          <x14:formula1>
            <xm:f>'Dati Studi Universitari'!$C$13:$C$21</xm:f>
          </x14:formula1>
          <xm:sqref>B15:C15 B9:C9 B11:C11</xm:sqref>
        </x14:dataValidation>
        <x14:dataValidation type="date" operator="lessThan" allowBlank="1" showInputMessage="1" showErrorMessage="1" error="Il titolo deve essere conseguito entro la scadenza del bando" prompt="Va riportata la data di conseguimento titolo_x000a_o dell'ultimo esame superato indicato nella presente istanza_x000a_" xr:uid="{00000000-0002-0000-0600-000001000000}">
          <x14:formula1>
            <xm:f>'Dati di input ammissibili'!J16</xm:f>
          </x14:formula1>
          <xm:sqref>J15</xm:sqref>
        </x14:dataValidation>
        <x14:dataValidation type="date" operator="lessThan" allowBlank="1" showInputMessage="1" showErrorMessage="1" error="Il titolo deve essere conseguito entro la scadenza del bando" prompt="Va riportata la data di conseguimento titolo_x000a_o dell'ultimo esame superato indicato nella presente istanza_x000a_" xr:uid="{00000000-0002-0000-0600-000002000000}">
          <x14:formula1>
            <xm:f>'Dati di input ammissibili'!J12</xm:f>
          </x14:formula1>
          <xm:sqref>J11 J9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1">
    <tabColor rgb="FFFFFFCC"/>
  </sheetPr>
  <dimension ref="A1:AD116"/>
  <sheetViews>
    <sheetView zoomScale="70" zoomScaleNormal="70" workbookViewId="0">
      <selection activeCell="B34" sqref="B34:C34"/>
    </sheetView>
  </sheetViews>
  <sheetFormatPr defaultColWidth="9.140625" defaultRowHeight="15"/>
  <cols>
    <col min="1" max="1" width="59.7109375" style="10" customWidth="1"/>
    <col min="2" max="2" width="44.42578125" style="10" customWidth="1"/>
    <col min="3" max="3" width="42.28515625" style="10" customWidth="1"/>
    <col min="4" max="4" width="2" style="10" customWidth="1"/>
    <col min="5" max="5" width="25.5703125" style="10" customWidth="1"/>
    <col min="6" max="6" width="28.42578125" style="10" customWidth="1"/>
    <col min="7" max="7" width="2.7109375" style="10" customWidth="1"/>
    <col min="8" max="8" width="14.28515625" style="267" customWidth="1"/>
    <col min="9" max="9" width="36.42578125" style="75" customWidth="1"/>
    <col min="10" max="10" width="26.7109375" style="75" customWidth="1"/>
    <col min="11" max="11" width="9.140625" style="75"/>
    <col min="12" max="12" width="12.5703125" style="75" customWidth="1"/>
    <col min="13" max="13" width="18.28515625" style="56" customWidth="1"/>
    <col min="14" max="14" width="21.85546875" style="56" customWidth="1"/>
    <col min="15" max="15" width="18.7109375" style="227" customWidth="1"/>
    <col min="16" max="16" width="23.140625" style="75" customWidth="1"/>
    <col min="17" max="30" width="9.140625" style="75"/>
    <col min="31" max="16384" width="9.140625" style="10"/>
  </cols>
  <sheetData>
    <row r="1" spans="1:30" s="158" customFormat="1" ht="27.75" customHeight="1">
      <c r="A1" s="381" t="s">
        <v>69</v>
      </c>
      <c r="B1" s="461"/>
      <c r="C1" s="461"/>
      <c r="D1" s="461"/>
      <c r="E1" s="461"/>
      <c r="F1" s="461"/>
      <c r="G1" s="159"/>
      <c r="H1" s="257"/>
      <c r="I1" s="300"/>
      <c r="J1" s="226"/>
      <c r="K1" s="226"/>
      <c r="L1" s="226"/>
      <c r="M1" s="92"/>
      <c r="N1" s="92"/>
      <c r="O1" s="225"/>
      <c r="P1" s="226"/>
      <c r="Q1" s="226"/>
      <c r="R1" s="226"/>
      <c r="S1" s="226"/>
      <c r="T1" s="226"/>
      <c r="U1" s="226"/>
      <c r="V1" s="226"/>
      <c r="W1" s="226"/>
      <c r="X1" s="226"/>
      <c r="Y1" s="226"/>
      <c r="Z1" s="226"/>
      <c r="AA1" s="226"/>
      <c r="AB1" s="226"/>
      <c r="AC1" s="226"/>
      <c r="AD1" s="226"/>
    </row>
    <row r="2" spans="1:30" s="158" customFormat="1" ht="27.75" customHeight="1">
      <c r="A2" s="460" t="s">
        <v>74</v>
      </c>
      <c r="B2" s="337"/>
      <c r="C2" s="337"/>
      <c r="D2" s="337"/>
      <c r="E2" s="337"/>
      <c r="F2" s="337"/>
      <c r="G2" s="159"/>
      <c r="H2" s="257"/>
      <c r="I2" s="300"/>
      <c r="J2" s="226"/>
      <c r="K2" s="226"/>
      <c r="L2" s="226"/>
      <c r="M2" s="92"/>
      <c r="N2" s="92"/>
      <c r="O2" s="225"/>
      <c r="P2" s="226"/>
      <c r="Q2" s="226"/>
      <c r="R2" s="226"/>
      <c r="S2" s="226"/>
      <c r="T2" s="226"/>
      <c r="U2" s="226"/>
      <c r="V2" s="226"/>
      <c r="W2" s="226"/>
      <c r="X2" s="226"/>
      <c r="Y2" s="226"/>
      <c r="Z2" s="226"/>
      <c r="AA2" s="226"/>
      <c r="AB2" s="226"/>
      <c r="AC2" s="226"/>
      <c r="AD2" s="226"/>
    </row>
    <row r="3" spans="1:30" s="157" customFormat="1">
      <c r="H3" s="258"/>
      <c r="I3" s="228"/>
      <c r="J3" s="228"/>
      <c r="K3" s="228"/>
      <c r="L3" s="228"/>
      <c r="M3" s="275"/>
      <c r="N3" s="275"/>
      <c r="O3" s="227"/>
      <c r="P3" s="228"/>
      <c r="Q3" s="228"/>
      <c r="R3" s="228"/>
      <c r="S3" s="228"/>
      <c r="T3" s="228"/>
      <c r="U3" s="228"/>
      <c r="V3" s="228"/>
      <c r="W3" s="228"/>
      <c r="X3" s="228"/>
      <c r="Y3" s="228"/>
      <c r="Z3" s="228"/>
      <c r="AA3" s="228"/>
      <c r="AB3" s="228"/>
      <c r="AC3" s="228"/>
      <c r="AD3" s="228"/>
    </row>
    <row r="4" spans="1:30" s="194" customFormat="1" ht="124.5" customHeight="1">
      <c r="A4" s="444" t="s">
        <v>219</v>
      </c>
      <c r="B4" s="445"/>
      <c r="C4" s="445"/>
      <c r="D4" s="445"/>
      <c r="E4" s="445"/>
      <c r="F4" s="337"/>
      <c r="H4" s="260"/>
      <c r="I4" s="230"/>
      <c r="J4" s="230"/>
      <c r="K4" s="230"/>
      <c r="L4" s="230"/>
      <c r="M4" s="229"/>
      <c r="N4" s="229"/>
      <c r="O4" s="229"/>
      <c r="P4" s="230"/>
      <c r="Q4" s="230"/>
      <c r="R4" s="230"/>
      <c r="S4" s="230"/>
      <c r="T4" s="230"/>
      <c r="U4" s="230"/>
      <c r="V4" s="230"/>
      <c r="W4" s="230"/>
      <c r="X4" s="230"/>
      <c r="Y4" s="230"/>
      <c r="Z4" s="230"/>
      <c r="AA4" s="230"/>
      <c r="AB4" s="230"/>
      <c r="AC4" s="230"/>
      <c r="AD4" s="230"/>
    </row>
    <row r="5" spans="1:30" s="194" customFormat="1" ht="118.5" customHeight="1">
      <c r="A5" s="444" t="s">
        <v>186</v>
      </c>
      <c r="B5" s="445"/>
      <c r="C5" s="445"/>
      <c r="D5" s="445"/>
      <c r="E5" s="445"/>
      <c r="F5" s="337"/>
      <c r="H5" s="260"/>
      <c r="I5" s="230"/>
      <c r="J5" s="230"/>
      <c r="K5" s="230"/>
      <c r="L5" s="230"/>
      <c r="M5" s="229"/>
      <c r="N5" s="229"/>
      <c r="O5" s="229"/>
      <c r="P5" s="230"/>
      <c r="Q5" s="230"/>
      <c r="R5" s="230"/>
      <c r="S5" s="230"/>
      <c r="T5" s="230"/>
      <c r="U5" s="230"/>
      <c r="V5" s="230"/>
      <c r="W5" s="230"/>
      <c r="X5" s="230"/>
      <c r="Y5" s="230"/>
      <c r="Z5" s="230"/>
      <c r="AA5" s="230"/>
      <c r="AB5" s="230"/>
      <c r="AC5" s="230"/>
      <c r="AD5" s="230"/>
    </row>
    <row r="6" spans="1:30" s="196" customFormat="1" ht="117" customHeight="1">
      <c r="A6" s="444" t="s">
        <v>176</v>
      </c>
      <c r="B6" s="445"/>
      <c r="C6" s="445"/>
      <c r="D6" s="445"/>
      <c r="E6" s="445"/>
      <c r="F6" s="438"/>
      <c r="G6" s="195"/>
      <c r="H6" s="261"/>
      <c r="I6" s="301"/>
      <c r="J6" s="233"/>
      <c r="K6" s="233"/>
      <c r="L6" s="233"/>
      <c r="M6" s="231"/>
      <c r="N6" s="231"/>
      <c r="O6" s="232"/>
      <c r="P6" s="233"/>
      <c r="Q6" s="233"/>
      <c r="R6" s="233"/>
      <c r="S6" s="233"/>
      <c r="T6" s="233"/>
      <c r="U6" s="233"/>
      <c r="V6" s="233"/>
      <c r="W6" s="233"/>
      <c r="X6" s="233"/>
      <c r="Y6" s="233"/>
      <c r="Z6" s="233"/>
      <c r="AA6" s="233"/>
      <c r="AB6" s="233"/>
      <c r="AC6" s="233"/>
      <c r="AD6" s="233"/>
    </row>
    <row r="7" spans="1:30" s="196" customFormat="1" ht="79.5" customHeight="1">
      <c r="A7" s="444" t="s">
        <v>218</v>
      </c>
      <c r="B7" s="445"/>
      <c r="C7" s="445"/>
      <c r="D7" s="445"/>
      <c r="E7" s="445"/>
      <c r="F7" s="438"/>
      <c r="G7" s="195"/>
      <c r="H7" s="261"/>
      <c r="I7" s="301"/>
      <c r="J7" s="233"/>
      <c r="K7" s="233"/>
      <c r="L7" s="233"/>
      <c r="M7" s="231"/>
      <c r="N7" s="231"/>
      <c r="O7" s="232"/>
      <c r="P7" s="233"/>
      <c r="Q7" s="233"/>
      <c r="R7" s="233"/>
      <c r="S7" s="233"/>
      <c r="T7" s="233"/>
      <c r="U7" s="233"/>
      <c r="V7" s="233"/>
      <c r="W7" s="233"/>
      <c r="X7" s="233"/>
      <c r="Y7" s="233"/>
      <c r="Z7" s="233"/>
      <c r="AA7" s="233"/>
      <c r="AB7" s="233"/>
      <c r="AC7" s="233"/>
      <c r="AD7" s="233"/>
    </row>
    <row r="8" spans="1:30" s="196" customFormat="1" ht="43.5" customHeight="1" thickBot="1">
      <c r="A8" s="214"/>
      <c r="B8" s="215"/>
      <c r="C8" s="215"/>
      <c r="D8" s="215"/>
      <c r="E8" s="215"/>
      <c r="F8" s="216"/>
      <c r="G8" s="195"/>
      <c r="H8" s="261"/>
      <c r="I8" s="301"/>
      <c r="J8" s="233"/>
      <c r="K8" s="233"/>
      <c r="L8" s="233"/>
      <c r="M8" s="231"/>
      <c r="N8" s="231"/>
      <c r="O8" s="232"/>
      <c r="P8" s="233"/>
      <c r="Q8" s="233"/>
      <c r="R8" s="233"/>
      <c r="S8" s="233"/>
      <c r="T8" s="233"/>
      <c r="U8" s="233"/>
      <c r="V8" s="233"/>
      <c r="W8" s="233"/>
      <c r="X8" s="233"/>
      <c r="Y8" s="233"/>
      <c r="Z8" s="233"/>
      <c r="AA8" s="233"/>
      <c r="AB8" s="233"/>
      <c r="AC8" s="233"/>
      <c r="AD8" s="233"/>
    </row>
    <row r="9" spans="1:30" s="115" customFormat="1" ht="108" customHeight="1" thickBot="1">
      <c r="A9" s="467" t="s">
        <v>211</v>
      </c>
      <c r="B9" s="468"/>
      <c r="C9" s="294" t="s">
        <v>213</v>
      </c>
      <c r="D9" s="295"/>
      <c r="E9" s="296">
        <f>IF(+O21&lt;&gt;"", O21, 0)</f>
        <v>0</v>
      </c>
      <c r="F9" s="294" t="s">
        <v>231</v>
      </c>
      <c r="G9" s="297"/>
      <c r="H9" s="296">
        <f>+$K$102</f>
        <v>0</v>
      </c>
      <c r="I9" s="235"/>
      <c r="J9" s="235"/>
      <c r="K9" s="277"/>
      <c r="L9" s="277"/>
      <c r="M9" s="277"/>
      <c r="N9" s="113" t="s">
        <v>122</v>
      </c>
      <c r="O9" s="113" t="s">
        <v>123</v>
      </c>
      <c r="P9" s="234" t="s">
        <v>81</v>
      </c>
      <c r="Q9" s="235"/>
      <c r="R9" s="235"/>
      <c r="S9" s="235"/>
      <c r="T9" s="235"/>
      <c r="U9" s="235"/>
      <c r="V9" s="235"/>
      <c r="W9" s="235"/>
      <c r="X9" s="235"/>
      <c r="Y9" s="235"/>
      <c r="Z9" s="235"/>
      <c r="AA9" s="235"/>
      <c r="AB9" s="235"/>
      <c r="AC9" s="235"/>
      <c r="AD9" s="235"/>
    </row>
    <row r="10" spans="1:30" ht="12.75" customHeight="1" thickBot="1">
      <c r="A10" s="17"/>
      <c r="B10" s="18"/>
      <c r="C10" s="18"/>
      <c r="D10" s="18"/>
      <c r="E10" s="18"/>
      <c r="F10" s="21"/>
      <c r="G10" s="22"/>
      <c r="H10" s="262"/>
      <c r="I10" s="278"/>
      <c r="J10" s="278"/>
      <c r="K10" s="278"/>
      <c r="L10" s="278"/>
      <c r="M10" s="279"/>
      <c r="O10" s="56"/>
      <c r="P10" s="227"/>
    </row>
    <row r="11" spans="1:30" s="109" customFormat="1" ht="44.25" customHeight="1" thickTop="1" thickBot="1">
      <c r="A11" s="207" t="s">
        <v>201</v>
      </c>
      <c r="B11" s="446" t="s">
        <v>0</v>
      </c>
      <c r="C11" s="447"/>
      <c r="D11" s="205"/>
      <c r="E11" s="255" t="s">
        <v>194</v>
      </c>
      <c r="F11" s="206"/>
      <c r="G11" s="108"/>
      <c r="H11" s="264"/>
      <c r="I11" s="280"/>
      <c r="J11" s="280"/>
      <c r="K11" s="280"/>
      <c r="L11" s="280"/>
      <c r="M11" s="281"/>
      <c r="N11" s="110"/>
      <c r="O11" s="110"/>
      <c r="P11" s="236"/>
      <c r="Q11" s="111"/>
      <c r="R11" s="111"/>
      <c r="S11" s="111"/>
      <c r="T11" s="111"/>
      <c r="U11" s="111"/>
      <c r="V11" s="111"/>
      <c r="W11" s="111"/>
      <c r="X11" s="111"/>
      <c r="Y11" s="111"/>
      <c r="Z11" s="111"/>
      <c r="AA11" s="111"/>
      <c r="AB11" s="111"/>
      <c r="AC11" s="111"/>
      <c r="AD11" s="111"/>
    </row>
    <row r="12" spans="1:30" s="29" customFormat="1" ht="91.5" customHeight="1" thickTop="1">
      <c r="A12" s="198" t="s">
        <v>178</v>
      </c>
      <c r="B12" s="448"/>
      <c r="C12" s="449"/>
      <c r="D12" s="191"/>
      <c r="E12" s="480"/>
      <c r="F12" s="481"/>
      <c r="G12" s="208"/>
      <c r="H12" s="265"/>
      <c r="I12" s="282"/>
      <c r="J12" s="282"/>
      <c r="K12" s="282"/>
      <c r="L12" s="282"/>
      <c r="M12" s="283"/>
      <c r="N12" s="57" t="str">
        <f xml:space="preserve"> IF(B15='CFU associabili'!$B$60, 6,IF(B15='CFU associabili'!$B$61,12,IF(B15&lt;&gt;"", IF(B15&lt;12, 6, 12),"")))</f>
        <v/>
      </c>
      <c r="O12" s="54"/>
      <c r="P12" s="236" t="str">
        <f>IF(B17='Dati di input ammissibili'!$F$4, N12,"")</f>
        <v/>
      </c>
      <c r="Q12" s="237"/>
      <c r="R12" s="237"/>
      <c r="S12" s="237"/>
      <c r="T12" s="237"/>
      <c r="U12" s="237"/>
      <c r="V12" s="237"/>
      <c r="W12" s="237"/>
      <c r="X12" s="237"/>
      <c r="Y12" s="237"/>
      <c r="Z12" s="237"/>
      <c r="AA12" s="237"/>
      <c r="AB12" s="237"/>
      <c r="AC12" s="237"/>
      <c r="AD12" s="237"/>
    </row>
    <row r="13" spans="1:30" s="29" customFormat="1" ht="47.25" customHeight="1">
      <c r="A13" s="197" t="s">
        <v>75</v>
      </c>
      <c r="B13" s="450"/>
      <c r="C13" s="452"/>
      <c r="D13" s="192"/>
      <c r="E13" s="482"/>
      <c r="F13" s="483"/>
      <c r="G13" s="209"/>
      <c r="H13" s="265"/>
      <c r="I13" s="282" t="e">
        <f>VLOOKUP(B13,'Esami Riconoscibili (2)'!B3:D32,3,FALSE)</f>
        <v>#N/A</v>
      </c>
      <c r="J13" s="302"/>
      <c r="K13" s="282"/>
      <c r="L13" s="282"/>
      <c r="M13" s="283"/>
      <c r="N13" s="56"/>
      <c r="O13" s="54"/>
      <c r="P13" s="238"/>
      <c r="Q13" s="237"/>
      <c r="R13" s="237"/>
      <c r="S13" s="237"/>
      <c r="T13" s="237"/>
      <c r="U13" s="237"/>
      <c r="V13" s="237"/>
      <c r="W13" s="237"/>
      <c r="X13" s="237"/>
      <c r="Y13" s="237"/>
      <c r="Z13" s="237"/>
      <c r="AA13" s="237"/>
      <c r="AB13" s="237"/>
      <c r="AC13" s="237"/>
      <c r="AD13" s="237"/>
    </row>
    <row r="14" spans="1:30" s="29" customFormat="1" ht="47.25" customHeight="1">
      <c r="A14" s="197" t="s">
        <v>314</v>
      </c>
      <c r="B14" s="450"/>
      <c r="C14" s="452"/>
      <c r="D14" s="192"/>
      <c r="E14" s="484"/>
      <c r="F14" s="485"/>
      <c r="G14" s="209"/>
      <c r="H14" s="193"/>
      <c r="I14" s="302"/>
      <c r="J14" s="302"/>
      <c r="K14" s="284"/>
      <c r="L14" s="285"/>
      <c r="M14" s="283"/>
      <c r="N14" s="56"/>
      <c r="O14" s="54"/>
      <c r="P14" s="238"/>
      <c r="Q14" s="237"/>
      <c r="R14" s="237"/>
      <c r="S14" s="237"/>
      <c r="T14" s="237"/>
      <c r="U14" s="237"/>
      <c r="V14" s="237"/>
      <c r="W14" s="237"/>
      <c r="X14" s="237"/>
      <c r="Y14" s="237"/>
      <c r="Z14" s="237"/>
      <c r="AA14" s="237"/>
      <c r="AB14" s="237"/>
      <c r="AC14" s="237"/>
      <c r="AD14" s="237"/>
    </row>
    <row r="15" spans="1:30" s="29" customFormat="1" ht="66.75" customHeight="1">
      <c r="A15" s="198" t="s">
        <v>209</v>
      </c>
      <c r="B15" s="450"/>
      <c r="C15" s="452"/>
      <c r="D15" s="192"/>
      <c r="E15" s="456" t="str">
        <f>IF(AND(B15&gt;0,B15&lt;15,ISNUMBER(SEARCH("Vecchio",B12))),"CFU NON compatibili su esami del V.O. Segliere una durata semestrale o annuale",IF(AND(NOT(ISNUMBER(SEARCH("Vecchio",B12))),OR(B15='CFU associabili'!$B$60,B15='CFU associabili'!$B$61)),"Necessario inserire il numero dei CFU",""))</f>
        <v/>
      </c>
      <c r="F15" s="457"/>
      <c r="G15" s="209"/>
      <c r="H15" s="193"/>
      <c r="I15" s="302"/>
      <c r="J15" s="302"/>
      <c r="K15" s="284"/>
      <c r="L15" s="285"/>
      <c r="M15" s="283"/>
      <c r="N15" s="56"/>
      <c r="O15" s="54"/>
      <c r="P15" s="238"/>
      <c r="Q15" s="237"/>
      <c r="R15" s="237"/>
      <c r="S15" s="237"/>
      <c r="T15" s="237"/>
      <c r="U15" s="237"/>
      <c r="V15" s="237"/>
      <c r="W15" s="237"/>
      <c r="X15" s="237"/>
      <c r="Y15" s="237"/>
      <c r="Z15" s="237"/>
      <c r="AA15" s="237"/>
      <c r="AB15" s="237"/>
      <c r="AC15" s="237"/>
      <c r="AD15" s="237"/>
    </row>
    <row r="16" spans="1:30" s="29" customFormat="1" ht="47.25" customHeight="1">
      <c r="A16" s="197" t="s">
        <v>2</v>
      </c>
      <c r="B16" s="455"/>
      <c r="C16" s="451"/>
      <c r="D16" s="192"/>
      <c r="E16" s="456" t="str">
        <f>IF(B16&lt;&gt;"", IF(AND(ISNUMBER(SEARCH("Vecchio",B12)),B16&lt;&gt;"V.O."),"Indicare V.O. e non il SSD, poiché non compatibile con il V.O.",IF(B13&lt;&gt;"",IF(B16&lt;&gt;"", IF(B16&lt;&gt;"V.O.", IF(B16&lt;&gt;VLOOKUP(B13,'Esami Riconoscibili (2)'!$B$3:$C$32,2,),"SSD non corrispondente a esame indicato",""),IF(ISNUMBER(SEARCH("Vecchio",B12)), "", "Si deve indicare un SSD ")),""),"")), "")</f>
        <v/>
      </c>
      <c r="F16" s="457"/>
      <c r="G16" s="209"/>
      <c r="H16" s="193"/>
      <c r="I16" s="302"/>
      <c r="J16" s="302"/>
      <c r="K16" s="284"/>
      <c r="L16" s="285"/>
      <c r="M16" s="283"/>
      <c r="N16" s="56"/>
      <c r="O16" s="54"/>
      <c r="P16" s="238"/>
      <c r="Q16" s="237"/>
      <c r="R16" s="237"/>
      <c r="S16" s="237"/>
      <c r="T16" s="237"/>
      <c r="U16" s="237"/>
      <c r="V16" s="237"/>
      <c r="W16" s="237"/>
      <c r="X16" s="237"/>
      <c r="Y16" s="237"/>
      <c r="Z16" s="237"/>
      <c r="AA16" s="237"/>
      <c r="AB16" s="237"/>
      <c r="AC16" s="237"/>
      <c r="AD16" s="237"/>
    </row>
    <row r="17" spans="1:30" s="29" customFormat="1" ht="97.5" customHeight="1">
      <c r="A17" s="204" t="s">
        <v>185</v>
      </c>
      <c r="B17" s="450"/>
      <c r="C17" s="452"/>
      <c r="D17" s="192"/>
      <c r="E17" s="191"/>
      <c r="F17" s="199"/>
      <c r="G17" s="209"/>
      <c r="H17" s="193"/>
      <c r="I17" s="282"/>
      <c r="J17" s="282"/>
      <c r="K17" s="284"/>
      <c r="L17" s="285"/>
      <c r="M17" s="283"/>
      <c r="N17" s="56"/>
      <c r="O17" s="54"/>
      <c r="P17" s="57"/>
      <c r="Q17" s="237"/>
      <c r="R17" s="237"/>
      <c r="S17" s="237"/>
      <c r="T17" s="237"/>
      <c r="U17" s="237"/>
      <c r="V17" s="237"/>
      <c r="W17" s="237"/>
      <c r="X17" s="237"/>
      <c r="Y17" s="237"/>
      <c r="Z17" s="237"/>
      <c r="AA17" s="237"/>
      <c r="AB17" s="237"/>
      <c r="AC17" s="237"/>
      <c r="AD17" s="237"/>
    </row>
    <row r="18" spans="1:30" ht="47.25" customHeight="1" thickBot="1">
      <c r="A18" s="200"/>
      <c r="B18" s="458" t="str">
        <f>IF(AND(B12&lt;&gt;"",B13&lt;&gt;"",B14&lt;&gt;"",B15&lt;&gt;"",B16&lt;&gt;""),"",IF(OR(B12&lt;&gt;"",B13&lt;&gt;"",B14&lt;&gt;"",B15&lt;&gt;"",B16&lt;&gt;""),"Completare tutti i dati inseriti per l'Esame",""))</f>
        <v/>
      </c>
      <c r="C18" s="459"/>
      <c r="D18" s="201"/>
      <c r="E18" s="202"/>
      <c r="F18" s="203"/>
      <c r="G18" s="210"/>
      <c r="H18" s="256"/>
      <c r="I18" s="303"/>
      <c r="J18" s="303"/>
      <c r="K18" s="286"/>
      <c r="L18" s="287"/>
      <c r="M18" s="279"/>
      <c r="O18" s="56"/>
      <c r="P18" s="227"/>
    </row>
    <row r="19" spans="1:30" ht="47.25" customHeight="1" thickTop="1" thickBot="1">
      <c r="A19" s="465" t="str">
        <f>+IF(B13&lt;&gt;"", IF(IFERROR(I13,"error")&lt;&gt;1,"ATTENZIONE  se non appare anche una finestra con messaggio di errore di Excel, allora  SI STA COMPILANDO LA RICHESTA CON UNA VERSIONE NON CORRETTA DI EXCEL - Controllare i requisiti di sistema come da specifica o contattare didattica.scienze@uniss.it",""),"")</f>
        <v/>
      </c>
      <c r="B19" s="466"/>
      <c r="C19" s="466"/>
      <c r="D19" s="466"/>
      <c r="E19" s="466"/>
      <c r="F19" s="466"/>
      <c r="G19" s="210"/>
      <c r="H19" s="256"/>
      <c r="I19" s="303"/>
      <c r="J19" s="303"/>
      <c r="K19" s="286"/>
      <c r="L19" s="287"/>
      <c r="M19" s="279"/>
      <c r="O19" s="56"/>
      <c r="P19" s="227"/>
    </row>
    <row r="20" spans="1:30" ht="47.25" customHeight="1" thickTop="1" thickBot="1">
      <c r="A20" s="207" t="s">
        <v>201</v>
      </c>
      <c r="B20" s="446" t="s">
        <v>1</v>
      </c>
      <c r="C20" s="447"/>
      <c r="D20" s="241"/>
      <c r="E20" s="242"/>
      <c r="F20" s="243"/>
      <c r="G20" s="210"/>
      <c r="H20" s="256"/>
      <c r="I20" s="303"/>
      <c r="J20" s="303"/>
      <c r="K20" s="286"/>
      <c r="L20" s="287"/>
      <c r="M20" s="279"/>
      <c r="N20" s="57" t="str">
        <f xml:space="preserve"> IF(H20='CFU associabili'!$B$60, 6,IF(H20='CFU associabili'!$B$61,12,IF(H20&lt;&gt;"", IF(H20&lt;12, 6, 12),"")))</f>
        <v/>
      </c>
      <c r="O20" s="56"/>
      <c r="P20" s="227"/>
    </row>
    <row r="21" spans="1:30" ht="91.5" customHeight="1" thickTop="1">
      <c r="A21" s="198" t="s">
        <v>178</v>
      </c>
      <c r="B21" s="448"/>
      <c r="C21" s="449"/>
      <c r="D21" s="21"/>
      <c r="E21" s="473" t="str">
        <f>+IF(AND(B12="",B21&lt;&gt;""),"Compilare prima la riga per Esame 1","")</f>
        <v/>
      </c>
      <c r="F21" s="474"/>
      <c r="G21" s="22"/>
      <c r="H21" s="262"/>
      <c r="I21" s="278"/>
      <c r="J21" s="278"/>
      <c r="K21" s="288"/>
      <c r="L21" s="278"/>
      <c r="M21" s="279"/>
      <c r="N21" s="57" t="str">
        <f xml:space="preserve"> IF(B24='CFU associabili'!$B$60, 6,IF(B24='CFU associabili'!$B$61,12,IF(B24&lt;&gt;"", IF(B24&lt;12, 6, 12),"")))</f>
        <v/>
      </c>
      <c r="O21" s="239" t="str">
        <f>IF(SUM(N12:N21)&gt;0, SUM(N12:N21), "")</f>
        <v/>
      </c>
      <c r="P21" s="236" t="str">
        <f>IF(B26='Dati di input ammissibili'!$F$4, N21,"")</f>
        <v/>
      </c>
    </row>
    <row r="22" spans="1:30" ht="47.25" customHeight="1">
      <c r="A22" s="197" t="s">
        <v>75</v>
      </c>
      <c r="B22" s="450"/>
      <c r="C22" s="452"/>
      <c r="D22" s="223"/>
      <c r="E22" s="190" t="str">
        <f>IF(AND(B21&lt;&gt;"",B22&lt;&gt;"",B23&lt;&gt;"",B24&lt;&gt;"",B25&lt;&gt;""),"",IF(OR(B21&lt;&gt;"",B22&lt;&gt;"",B23&lt;&gt;"",B24&lt;&gt;"",B25&lt;&gt;""),"Completare tutti i dati inseriti per l'Esame",""))</f>
        <v/>
      </c>
      <c r="F22" s="244"/>
      <c r="G22" s="210"/>
      <c r="H22" s="256"/>
      <c r="I22" s="303"/>
      <c r="J22" s="303"/>
      <c r="K22" s="286"/>
      <c r="L22" s="287"/>
      <c r="M22" s="279"/>
      <c r="O22" s="239"/>
      <c r="P22" s="227"/>
    </row>
    <row r="23" spans="1:30" ht="47.25" customHeight="1">
      <c r="A23" s="197" t="s">
        <v>314</v>
      </c>
      <c r="B23" s="450"/>
      <c r="C23" s="452"/>
      <c r="D23" s="223"/>
      <c r="E23" s="21"/>
      <c r="F23" s="245"/>
      <c r="G23" s="210"/>
      <c r="H23" s="256"/>
      <c r="I23" s="303"/>
      <c r="J23" s="303"/>
      <c r="K23" s="286"/>
      <c r="L23" s="287"/>
      <c r="M23" s="279"/>
      <c r="O23" s="239"/>
      <c r="P23" s="227"/>
    </row>
    <row r="24" spans="1:30" ht="66.75" customHeight="1">
      <c r="A24" s="198" t="s">
        <v>105</v>
      </c>
      <c r="B24" s="450"/>
      <c r="C24" s="452"/>
      <c r="D24" s="223"/>
      <c r="E24" s="456" t="str">
        <f>IF(AND(B24&gt;0,B24&lt;15,ISNUMBER(SEARCH("Vecchio",B21))),"CFU NON compatibili su esami del V.O. Segliere una durata semestrale o annuale",IF(AND(NOT(ISNUMBER(SEARCH("Vecchio",B21))),OR(B24='CFU associabili'!$B$60,B24='CFU associabili'!$B$61)),"Necessario inserire il numero dei CFU",""))</f>
        <v/>
      </c>
      <c r="F24" s="457"/>
      <c r="G24" s="210"/>
      <c r="H24" s="256"/>
      <c r="I24" s="303"/>
      <c r="J24" s="303"/>
      <c r="K24" s="286"/>
      <c r="L24" s="287"/>
      <c r="M24" s="279"/>
      <c r="O24" s="239"/>
      <c r="P24" s="227"/>
    </row>
    <row r="25" spans="1:30" ht="47.25" customHeight="1">
      <c r="A25" s="197" t="s">
        <v>2</v>
      </c>
      <c r="B25" s="455"/>
      <c r="C25" s="451"/>
      <c r="D25" s="223"/>
      <c r="E25" s="456" t="str">
        <f>IF(B25&lt;&gt;"", IF(AND(ISNUMBER(SEARCH("Vecchio",B21)),B25&lt;&gt;"V.O."),"Indicare V.O. e non il SSD, poiché non compatibile con il V.O.",IF(B22&lt;&gt;"",IF(B25&lt;&gt;"", IF(B25&lt;&gt;"V.O.", IF(B25&lt;&gt;VLOOKUP(B22,'Esami Riconoscibili (2)'!$B$3:$C$32,2,),"SSD non corrispondente a esame indicato",""),IF(ISNUMBER(SEARCH("Vecchio",B21)), "", "Si deve indicare un SSD ")),""),"")), "")</f>
        <v/>
      </c>
      <c r="F25" s="457"/>
      <c r="G25" s="211"/>
      <c r="H25" s="256"/>
      <c r="I25" s="303"/>
      <c r="J25" s="303"/>
      <c r="K25" s="286"/>
      <c r="L25" s="287"/>
      <c r="M25" s="279"/>
      <c r="O25" s="239"/>
      <c r="P25" s="227"/>
    </row>
    <row r="26" spans="1:30" ht="93.75" customHeight="1">
      <c r="A26" s="246" t="s">
        <v>185</v>
      </c>
      <c r="B26" s="450"/>
      <c r="C26" s="452"/>
      <c r="D26" s="223"/>
      <c r="E26" s="292" t="s">
        <v>194</v>
      </c>
      <c r="F26" s="245"/>
      <c r="G26" s="210"/>
      <c r="H26" s="256"/>
      <c r="I26" s="303"/>
      <c r="J26" s="303"/>
      <c r="K26" s="286"/>
      <c r="L26" s="287"/>
      <c r="M26" s="279"/>
      <c r="O26" s="239"/>
      <c r="P26" s="57"/>
    </row>
    <row r="27" spans="1:30" ht="47.25" customHeight="1">
      <c r="A27" s="247"/>
      <c r="B27" s="453" t="str">
        <f>IF(AND(B21&lt;&gt;"",B22&lt;&gt;"",B23&lt;&gt;"",B24&lt;&gt;"",B25&lt;&gt;""),"",IF(OR(B21&lt;&gt;"",B22&lt;&gt;"",B23&lt;&gt;"",B24&lt;&gt;"",B25&lt;&gt;""),"Completare tutti i dati inseriti per l'Esame",""))</f>
        <v/>
      </c>
      <c r="C27" s="454"/>
      <c r="D27" s="223"/>
      <c r="E27" s="486"/>
      <c r="F27" s="487"/>
      <c r="G27" s="210"/>
      <c r="H27" s="256"/>
      <c r="I27" s="303"/>
      <c r="J27" s="303"/>
      <c r="K27" s="286"/>
      <c r="L27" s="287"/>
      <c r="M27" s="279"/>
      <c r="O27" s="239"/>
      <c r="P27" s="227"/>
    </row>
    <row r="28" spans="1:30" ht="47.25" customHeight="1" thickBot="1">
      <c r="A28" s="248"/>
      <c r="B28" s="458" t="str">
        <f>+IF(AND(B13&lt;&gt;"", B13=B22),"Uno stesso Esame non può essere indicato più volte", "")</f>
        <v/>
      </c>
      <c r="C28" s="459"/>
      <c r="D28" s="201"/>
      <c r="E28" s="488"/>
      <c r="F28" s="489"/>
      <c r="G28" s="210"/>
      <c r="H28" s="256"/>
      <c r="I28" s="303"/>
      <c r="J28" s="303"/>
      <c r="K28" s="286"/>
      <c r="L28" s="287"/>
      <c r="M28" s="279"/>
      <c r="O28" s="239"/>
      <c r="P28" s="227"/>
    </row>
    <row r="29" spans="1:30" ht="36" customHeight="1" thickTop="1" thickBot="1">
      <c r="A29" s="23"/>
      <c r="B29" s="24"/>
      <c r="C29" s="24"/>
      <c r="D29" s="24"/>
      <c r="E29" s="24"/>
      <c r="F29" s="24"/>
      <c r="G29" s="212"/>
      <c r="H29" s="262"/>
      <c r="I29" s="278"/>
      <c r="J29" s="278"/>
      <c r="K29" s="278"/>
      <c r="L29" s="278"/>
      <c r="M29" s="279"/>
      <c r="O29" s="56"/>
      <c r="P29" s="227"/>
    </row>
    <row r="30" spans="1:30" ht="15.75" thickBot="1">
      <c r="H30" s="262"/>
      <c r="I30" s="278"/>
      <c r="J30" s="278"/>
      <c r="K30" s="278"/>
      <c r="L30" s="278"/>
      <c r="M30" s="279"/>
      <c r="O30" s="56"/>
      <c r="P30" s="227"/>
    </row>
    <row r="31" spans="1:30" s="115" customFormat="1" ht="108" customHeight="1" thickBot="1">
      <c r="A31" s="467" t="s">
        <v>71</v>
      </c>
      <c r="B31" s="468"/>
      <c r="C31" s="294" t="s">
        <v>212</v>
      </c>
      <c r="D31" s="295"/>
      <c r="E31" s="296">
        <f>IF(+O43&lt;&gt;"", O43, 0)</f>
        <v>0</v>
      </c>
      <c r="F31" s="294" t="s">
        <v>231</v>
      </c>
      <c r="G31" s="297"/>
      <c r="H31" s="296">
        <f>+$K$102</f>
        <v>0</v>
      </c>
      <c r="I31" s="235"/>
      <c r="J31" s="235"/>
      <c r="K31" s="289"/>
      <c r="L31" s="289"/>
      <c r="M31" s="277"/>
      <c r="N31" s="113"/>
      <c r="O31" s="113"/>
      <c r="P31" s="234"/>
      <c r="Q31" s="235"/>
      <c r="R31" s="235"/>
      <c r="S31" s="235"/>
      <c r="T31" s="235"/>
      <c r="U31" s="235"/>
      <c r="V31" s="235"/>
      <c r="W31" s="235"/>
      <c r="X31" s="235"/>
      <c r="Y31" s="235"/>
      <c r="Z31" s="235"/>
      <c r="AA31" s="235"/>
      <c r="AB31" s="235"/>
      <c r="AC31" s="235"/>
      <c r="AD31" s="235"/>
    </row>
    <row r="32" spans="1:30" ht="12.75" customHeight="1" thickBot="1">
      <c r="A32" s="17"/>
      <c r="B32" s="18"/>
      <c r="C32" s="18"/>
      <c r="D32" s="18"/>
      <c r="E32" s="18"/>
      <c r="F32" s="18"/>
      <c r="G32" s="19"/>
      <c r="H32" s="262"/>
      <c r="I32" s="278"/>
      <c r="J32" s="278"/>
      <c r="K32" s="278"/>
      <c r="L32" s="278"/>
      <c r="M32" s="279"/>
      <c r="O32" s="56"/>
      <c r="P32" s="227"/>
    </row>
    <row r="33" spans="1:30" s="109" customFormat="1" ht="44.25" customHeight="1" thickTop="1" thickBot="1">
      <c r="A33" s="207" t="s">
        <v>202</v>
      </c>
      <c r="B33" s="446" t="s">
        <v>0</v>
      </c>
      <c r="C33" s="447"/>
      <c r="D33" s="205"/>
      <c r="E33" s="255" t="s">
        <v>194</v>
      </c>
      <c r="F33" s="206"/>
      <c r="G33" s="250"/>
      <c r="H33" s="266"/>
      <c r="I33" s="304"/>
      <c r="J33" s="305"/>
      <c r="K33" s="280"/>
      <c r="L33" s="280"/>
      <c r="M33" s="281"/>
      <c r="N33" s="110"/>
      <c r="O33" s="110"/>
      <c r="P33" s="236"/>
      <c r="Q33" s="111"/>
      <c r="R33" s="111"/>
      <c r="S33" s="111"/>
      <c r="T33" s="111"/>
      <c r="U33" s="111"/>
      <c r="V33" s="111"/>
      <c r="W33" s="111"/>
      <c r="X33" s="111"/>
      <c r="Y33" s="111"/>
      <c r="Z33" s="111"/>
      <c r="AA33" s="111"/>
      <c r="AB33" s="111"/>
      <c r="AC33" s="111"/>
      <c r="AD33" s="111"/>
    </row>
    <row r="34" spans="1:30" ht="91.5" customHeight="1" thickTop="1">
      <c r="A34" s="198" t="s">
        <v>178</v>
      </c>
      <c r="B34" s="448"/>
      <c r="C34" s="449"/>
      <c r="D34" s="21"/>
      <c r="E34" s="480"/>
      <c r="F34" s="481"/>
      <c r="G34" s="22"/>
      <c r="H34" s="262"/>
      <c r="I34" s="306"/>
      <c r="J34" s="288"/>
      <c r="K34" s="288"/>
      <c r="L34" s="278"/>
      <c r="M34" s="279"/>
      <c r="N34" s="57" t="str">
        <f xml:space="preserve"> IF(B37='CFU associabili'!$B$60, 6,IF(B37='CFU associabili'!$B$61,12,IF(B37&lt;&gt;"", IF(B37&lt;12, 6, 12),"")))</f>
        <v/>
      </c>
      <c r="O34" s="54"/>
      <c r="P34" s="236" t="str">
        <f>IF(B39='Dati di input ammissibili'!$F$4, N34,"")</f>
        <v/>
      </c>
    </row>
    <row r="35" spans="1:30" ht="38.25" customHeight="1">
      <c r="A35" s="197" t="s">
        <v>75</v>
      </c>
      <c r="B35" s="450"/>
      <c r="C35" s="451"/>
      <c r="D35" s="223"/>
      <c r="E35" s="482"/>
      <c r="F35" s="483"/>
      <c r="G35" s="224"/>
      <c r="H35" s="256"/>
      <c r="I35" s="282" t="e">
        <f>VLOOKUP(B35,'Esami Riconoscibili (2)'!B37:D51,3,FALSE)</f>
        <v>#N/A</v>
      </c>
      <c r="J35" s="327"/>
      <c r="K35" s="470"/>
      <c r="L35" s="471"/>
      <c r="M35" s="279"/>
      <c r="O35" s="54"/>
      <c r="P35" s="238"/>
    </row>
    <row r="36" spans="1:30" ht="38.25" customHeight="1">
      <c r="A36" s="197" t="s">
        <v>314</v>
      </c>
      <c r="B36" s="450"/>
      <c r="C36" s="452"/>
      <c r="D36" s="223"/>
      <c r="E36" s="484"/>
      <c r="F36" s="485"/>
      <c r="G36" s="224"/>
      <c r="H36" s="256"/>
      <c r="I36" s="303"/>
      <c r="J36" s="303"/>
      <c r="K36" s="286"/>
      <c r="L36" s="287"/>
      <c r="M36" s="279"/>
      <c r="O36" s="54"/>
      <c r="P36" s="238"/>
    </row>
    <row r="37" spans="1:30" ht="38.25" customHeight="1">
      <c r="A37" s="198" t="s">
        <v>105</v>
      </c>
      <c r="B37" s="450"/>
      <c r="C37" s="451"/>
      <c r="D37" s="223"/>
      <c r="E37" s="456" t="str">
        <f>IF(AND(B37&gt;0,B37&lt;15,ISNUMBER(SEARCH("Vecchio",B34))),"CFU NON compatibili su esami del V.O. Segliere una durata semestrale o annuale",IF(AND(NOT(ISNUMBER(SEARCH("Vecchio",B34))),OR(B37='CFU associabili'!$B$60,B37='CFU associabili'!$B$61)),"Necessario inserire il numero dei CFU",""))</f>
        <v/>
      </c>
      <c r="F37" s="472"/>
      <c r="G37" s="224"/>
      <c r="H37" s="256"/>
      <c r="I37" s="303"/>
      <c r="J37" s="303"/>
      <c r="K37" s="286"/>
      <c r="L37" s="287"/>
      <c r="M37" s="279"/>
      <c r="O37" s="54"/>
      <c r="P37" s="238"/>
    </row>
    <row r="38" spans="1:30" ht="38.25" customHeight="1">
      <c r="A38" s="197" t="s">
        <v>2</v>
      </c>
      <c r="B38" s="450"/>
      <c r="C38" s="451"/>
      <c r="D38" s="223"/>
      <c r="E38" s="456" t="str">
        <f>IF(B38&lt;&gt;"", IF(AND(ISNUMBER(SEARCH("Vecchio",B34)),B38&lt;&gt;"V.O."),"Indicare V.O. e non il SSD, poiché non compatibile con il V.O.",IF(B35&lt;&gt;"",IF(B38&lt;&gt;"", IF(B38&lt;&gt;"V.O.", IF(B38&lt;&gt;VLOOKUP(B35,'Esami Riconoscibili (2)'!$B$37:$C$51,2,),"SSD non corrispondente a esame indicato",""),IF(ISNUMBER(SEARCH("Vecchio",B34)), "", "Si deve indicare un SSD ")),""),"")), "")</f>
        <v/>
      </c>
      <c r="F38" s="472"/>
      <c r="G38" s="224"/>
      <c r="H38" s="256"/>
      <c r="I38" s="303"/>
      <c r="J38" s="303"/>
      <c r="K38" s="286"/>
      <c r="L38" s="287"/>
      <c r="M38" s="279"/>
      <c r="O38" s="54"/>
      <c r="P38" s="238"/>
    </row>
    <row r="39" spans="1:30" ht="84.75" customHeight="1">
      <c r="A39" s="246" t="s">
        <v>185</v>
      </c>
      <c r="B39" s="450"/>
      <c r="C39" s="452"/>
      <c r="D39" s="223"/>
      <c r="E39" s="21"/>
      <c r="F39" s="245"/>
      <c r="G39" s="224"/>
      <c r="H39" s="256"/>
      <c r="I39" s="303"/>
      <c r="J39" s="303"/>
      <c r="K39" s="286"/>
      <c r="L39" s="287"/>
      <c r="M39" s="279"/>
      <c r="O39" s="54"/>
      <c r="P39" s="57"/>
    </row>
    <row r="40" spans="1:30" ht="47.25" customHeight="1" thickBot="1">
      <c r="A40" s="248"/>
      <c r="B40" s="458" t="str">
        <f>IF(AND(B34&lt;&gt;"",B35&lt;&gt;"",B36&lt;&gt;"",B37&lt;&gt;"",B38&lt;&gt;""),"",IF(OR(B34&lt;&gt;"",B35&lt;&gt;"",B36&lt;&gt;"",B37&lt;&gt;"",B38&lt;&gt;""),"Completare tutti i dati inseriti per l'Esame",""))</f>
        <v/>
      </c>
      <c r="C40" s="459"/>
      <c r="D40" s="201"/>
      <c r="E40" s="202"/>
      <c r="F40" s="203"/>
      <c r="G40" s="224"/>
      <c r="H40" s="256"/>
      <c r="I40" s="303"/>
      <c r="J40" s="303"/>
      <c r="K40" s="286"/>
      <c r="L40" s="287"/>
      <c r="M40" s="279"/>
      <c r="O40" s="56"/>
      <c r="P40" s="227"/>
    </row>
    <row r="41" spans="1:30" ht="47.25" customHeight="1" thickTop="1" thickBot="1">
      <c r="A41" s="465" t="str">
        <f>+IF(B35&lt;&gt;"", IF(IFERROR(I35,"error")&lt;&gt;1,"ATTENZIONE  se non appare anche una finestra con messaggio di errore di Excel, allora  SI STA COMPILANDO LA RICHESTA CON UNA VERSIONE NON CORRETTA DI EXCEL - Controllare i requisiti di sistema come da specifica o contattare didattica.scienze@uniss.it",""),"")</f>
        <v/>
      </c>
      <c r="B41" s="466"/>
      <c r="C41" s="466"/>
      <c r="D41" s="466"/>
      <c r="E41" s="466"/>
      <c r="F41" s="466"/>
      <c r="G41" s="224"/>
      <c r="H41" s="256"/>
      <c r="I41" s="303"/>
      <c r="J41" s="303"/>
      <c r="K41" s="286"/>
      <c r="L41" s="287"/>
      <c r="M41" s="279"/>
      <c r="O41" s="56"/>
      <c r="P41" s="227"/>
    </row>
    <row r="42" spans="1:30" ht="65.099999999999994" customHeight="1" thickTop="1" thickBot="1">
      <c r="A42" s="207" t="s">
        <v>202</v>
      </c>
      <c r="B42" s="446" t="s">
        <v>1</v>
      </c>
      <c r="C42" s="447"/>
      <c r="D42" s="242"/>
      <c r="E42" s="242"/>
      <c r="F42" s="249"/>
      <c r="G42" s="224"/>
      <c r="H42" s="256"/>
      <c r="I42" s="303"/>
      <c r="J42" s="303"/>
      <c r="K42" s="288"/>
      <c r="L42" s="278"/>
      <c r="M42" s="279"/>
      <c r="N42" s="57" t="str">
        <f xml:space="preserve"> IF(H42='CFU associabili'!$B$60, 6,IF(H42='CFU associabili'!$B$61,12,IF(H42&lt;&gt;"", IF(H42&lt;12, 6, 12),"")))</f>
        <v/>
      </c>
      <c r="O42" s="56"/>
      <c r="P42" s="227"/>
    </row>
    <row r="43" spans="1:30" ht="91.5" customHeight="1" thickTop="1">
      <c r="A43" s="198" t="s">
        <v>178</v>
      </c>
      <c r="B43" s="448"/>
      <c r="C43" s="449"/>
      <c r="D43" s="223"/>
      <c r="E43" s="473" t="str">
        <f>+IF(AND(B34="",B43&lt;&gt;""),"Compilare prima la riga per Esame 1","")</f>
        <v/>
      </c>
      <c r="F43" s="474"/>
      <c r="G43" s="224"/>
      <c r="H43" s="256"/>
      <c r="I43" s="469"/>
      <c r="J43" s="469"/>
      <c r="K43" s="470"/>
      <c r="L43" s="470"/>
      <c r="M43" s="279"/>
      <c r="N43" s="57" t="str">
        <f xml:space="preserve"> IF(B46='CFU associabili'!$B$60, 6,IF(B46='CFU associabili'!$B$61,12,IF(B46&lt;&gt;"", IF(B46&lt;12, 6, 12),"")))</f>
        <v/>
      </c>
      <c r="O43" s="239" t="str">
        <f>IF(SUM(N34:N43)&gt;0, SUM(N34:N43), "")</f>
        <v/>
      </c>
      <c r="P43" s="236" t="str">
        <f>IF(B48='Dati di input ammissibili'!$F$4, N43,"")</f>
        <v/>
      </c>
    </row>
    <row r="44" spans="1:30" ht="47.25" customHeight="1">
      <c r="A44" s="197" t="s">
        <v>75</v>
      </c>
      <c r="B44" s="450"/>
      <c r="C44" s="451"/>
      <c r="D44" s="223"/>
      <c r="E44" s="190" t="str">
        <f>IF(AND(B43&lt;&gt;"",B44&lt;&gt;"",B45&lt;&gt;"",B46&lt;&gt;"",B47&lt;&gt;""),"",IF(OR(B43&lt;&gt;"",B44&lt;&gt;"",B45&lt;&gt;"",B46&lt;&gt;"",B47&lt;&gt;""),"Completare tutti i dati inseriti per l'Esame",""))</f>
        <v/>
      </c>
      <c r="F44" s="244"/>
      <c r="G44" s="224"/>
      <c r="H44" s="256"/>
      <c r="I44" s="303"/>
      <c r="J44" s="303"/>
      <c r="K44" s="286"/>
      <c r="L44" s="286"/>
      <c r="M44" s="279"/>
      <c r="O44" s="239"/>
      <c r="P44" s="227"/>
    </row>
    <row r="45" spans="1:30" ht="47.25" customHeight="1">
      <c r="A45" s="197" t="s">
        <v>314</v>
      </c>
      <c r="B45" s="450"/>
      <c r="C45" s="452"/>
      <c r="D45" s="223"/>
      <c r="E45" s="21"/>
      <c r="F45" s="245"/>
      <c r="G45" s="224"/>
      <c r="H45" s="256"/>
      <c r="I45" s="303"/>
      <c r="J45" s="303"/>
      <c r="K45" s="286"/>
      <c r="L45" s="286"/>
      <c r="M45" s="279"/>
      <c r="O45" s="239"/>
      <c r="P45" s="227"/>
    </row>
    <row r="46" spans="1:30" ht="47.25" customHeight="1">
      <c r="A46" s="198" t="s">
        <v>105</v>
      </c>
      <c r="B46" s="450"/>
      <c r="C46" s="452"/>
      <c r="D46" s="223"/>
      <c r="E46" s="456" t="str">
        <f>IF(AND(B46&gt;0,B46&lt;15,ISNUMBER(SEARCH("Vecchio",B43))),"CFU NON compatibili su esami del V.O. Segliere una durata semestrale o annuale",IF(AND(NOT(ISNUMBER(SEARCH("Vecchio",B43))),OR(B46='CFU associabili'!$B$60,B46='CFU associabili'!$B$61)),"Necessario inserire il numero dei CFU",""))</f>
        <v/>
      </c>
      <c r="F46" s="472"/>
      <c r="G46" s="224"/>
      <c r="H46" s="256"/>
      <c r="I46" s="303"/>
      <c r="J46" s="303"/>
      <c r="K46" s="286"/>
      <c r="L46" s="286"/>
      <c r="M46" s="279"/>
      <c r="O46" s="239"/>
      <c r="P46" s="227"/>
    </row>
    <row r="47" spans="1:30" ht="47.25" customHeight="1">
      <c r="A47" s="197" t="s">
        <v>2</v>
      </c>
      <c r="B47" s="450"/>
      <c r="C47" s="451"/>
      <c r="D47" s="223"/>
      <c r="E47" s="456" t="str">
        <f>IF(B47&lt;&gt;"", IF(AND(ISNUMBER(SEARCH("Vecchio",B43)),B47&lt;&gt;"V.O."),"Indicare V.O. e non il SSD, poiché non compatibile con il V.O.",IF(B44&lt;&gt;"",IF(B47&lt;&gt;"", IF(B47&lt;&gt;"V.O.", IF(B47&lt;&gt;VLOOKUP(B44,'Esami Riconoscibili (2)'!$B$37:$C$51,2,),"SSD non corrispondente a esame indicato",""),IF(ISNUMBER(SEARCH("Vecchio",B43)), "", "Si deve indicare un SSD ")),""),"")), "")</f>
        <v/>
      </c>
      <c r="F47" s="472"/>
      <c r="G47" s="224"/>
      <c r="H47" s="256"/>
      <c r="I47" s="303"/>
      <c r="J47" s="303"/>
      <c r="K47" s="286"/>
      <c r="L47" s="286"/>
      <c r="M47" s="279"/>
      <c r="O47" s="239"/>
      <c r="P47" s="227"/>
    </row>
    <row r="48" spans="1:30" ht="93.75" customHeight="1">
      <c r="A48" s="246" t="s">
        <v>185</v>
      </c>
      <c r="B48" s="450"/>
      <c r="C48" s="452"/>
      <c r="D48" s="223"/>
      <c r="E48" s="292" t="s">
        <v>194</v>
      </c>
      <c r="F48" s="245"/>
      <c r="G48" s="224"/>
      <c r="H48" s="256"/>
      <c r="I48" s="303"/>
      <c r="J48" s="303"/>
      <c r="K48" s="286"/>
      <c r="L48" s="286"/>
      <c r="M48" s="279"/>
      <c r="O48" s="239"/>
      <c r="P48" s="227"/>
    </row>
    <row r="49" spans="1:30" ht="47.25" customHeight="1">
      <c r="A49" s="247"/>
      <c r="B49" s="453" t="str">
        <f>IF(AND(B43&lt;&gt;"",B44&lt;&gt;"",B45&lt;&gt;"",B46&lt;&gt;""),"",IF(OR(B43&lt;&gt;"",B44&lt;&gt;"",B45&lt;&gt;"",B46&lt;&gt;""),"Completare tutti i dati inseriti per l'Esame",""))</f>
        <v/>
      </c>
      <c r="C49" s="454"/>
      <c r="D49" s="223"/>
      <c r="E49" s="486"/>
      <c r="F49" s="487"/>
      <c r="G49" s="224"/>
      <c r="H49" s="256"/>
      <c r="I49" s="303"/>
      <c r="J49" s="303"/>
      <c r="K49" s="286"/>
      <c r="L49" s="286"/>
      <c r="M49" s="279"/>
      <c r="O49" s="239"/>
      <c r="P49" s="227"/>
    </row>
    <row r="50" spans="1:30" ht="47.25" customHeight="1" thickBot="1">
      <c r="A50" s="248"/>
      <c r="B50" s="458" t="str">
        <f>+IF(AND(B35&lt;&gt;"", B35=B44),"Uno stesso Esame non può essere indicato più volte", "")</f>
        <v/>
      </c>
      <c r="C50" s="459"/>
      <c r="D50" s="201"/>
      <c r="E50" s="488"/>
      <c r="F50" s="489"/>
      <c r="G50" s="224"/>
      <c r="H50" s="256"/>
      <c r="I50" s="303"/>
      <c r="J50" s="303"/>
      <c r="K50" s="286"/>
      <c r="L50" s="286"/>
      <c r="M50" s="279"/>
      <c r="P50" s="227"/>
    </row>
    <row r="51" spans="1:30" ht="36" customHeight="1" thickTop="1" thickBot="1">
      <c r="A51" s="23"/>
      <c r="B51" s="34"/>
      <c r="C51" s="34"/>
      <c r="D51" s="27"/>
      <c r="E51" s="24"/>
      <c r="F51" s="31"/>
      <c r="G51" s="212"/>
      <c r="H51" s="240"/>
      <c r="I51" s="307"/>
      <c r="J51" s="307"/>
      <c r="K51" s="290"/>
      <c r="L51" s="290"/>
      <c r="M51" s="279"/>
      <c r="O51" s="239"/>
      <c r="P51" s="227"/>
    </row>
    <row r="52" spans="1:30" ht="41.25" customHeight="1" thickTop="1" thickBot="1">
      <c r="A52" s="465" t="str">
        <f>+IF(B44&lt;&gt;"", IF(IFERROR(I44,"error")&lt;&gt;1,"ATTENZIONE  se non appare anche una finestra con messaggio di errore di Excel, allora  SI STA COMPILANDO LA RICHESTA CON UNA VERSIONE NON CORRETTA DI EXCEL - Controllare i requisiti di sistema come da specifica o contattare didattica.scienze@uniss.it",""),"")</f>
        <v/>
      </c>
      <c r="B52" s="466"/>
      <c r="C52" s="466"/>
      <c r="D52" s="466"/>
      <c r="E52" s="466"/>
      <c r="F52" s="466"/>
      <c r="H52" s="262"/>
      <c r="I52" s="278"/>
      <c r="J52" s="278"/>
      <c r="K52" s="278"/>
      <c r="L52" s="278"/>
      <c r="M52" s="279"/>
      <c r="O52" s="56"/>
      <c r="P52" s="227"/>
    </row>
    <row r="53" spans="1:30" s="115" customFormat="1" ht="108" customHeight="1" thickTop="1" thickBot="1">
      <c r="A53" s="467" t="s">
        <v>72</v>
      </c>
      <c r="B53" s="468"/>
      <c r="C53" s="294" t="s">
        <v>214</v>
      </c>
      <c r="D53" s="295"/>
      <c r="E53" s="296">
        <f>IF(+O65&lt;&gt;"", O65, 0)</f>
        <v>0</v>
      </c>
      <c r="F53" s="294" t="s">
        <v>231</v>
      </c>
      <c r="G53" s="297"/>
      <c r="H53" s="296">
        <f>+$K$102</f>
        <v>0</v>
      </c>
      <c r="I53" s="235"/>
      <c r="J53" s="235"/>
      <c r="K53" s="289"/>
      <c r="L53" s="289"/>
      <c r="M53" s="277"/>
      <c r="N53" s="113"/>
      <c r="O53" s="113"/>
      <c r="P53" s="234"/>
      <c r="Q53" s="235"/>
      <c r="R53" s="235"/>
      <c r="S53" s="235"/>
      <c r="T53" s="235"/>
      <c r="U53" s="235"/>
      <c r="V53" s="235"/>
      <c r="W53" s="235"/>
      <c r="X53" s="235"/>
      <c r="Y53" s="235"/>
      <c r="Z53" s="235"/>
      <c r="AA53" s="235"/>
      <c r="AB53" s="235"/>
      <c r="AC53" s="235"/>
      <c r="AD53" s="235"/>
    </row>
    <row r="54" spans="1:30" ht="12.75" customHeight="1" thickBot="1">
      <c r="A54" s="17"/>
      <c r="B54" s="18"/>
      <c r="C54" s="18"/>
      <c r="D54" s="18"/>
      <c r="E54" s="18"/>
      <c r="F54" s="18"/>
      <c r="G54" s="19"/>
      <c r="H54" s="262"/>
      <c r="I54" s="278"/>
      <c r="J54" s="278"/>
      <c r="K54" s="278"/>
      <c r="L54" s="278"/>
      <c r="M54" s="279"/>
      <c r="O54" s="56"/>
      <c r="P54" s="227"/>
    </row>
    <row r="55" spans="1:30" s="109" customFormat="1" ht="44.25" customHeight="1" thickTop="1" thickBot="1">
      <c r="A55" s="207" t="s">
        <v>203</v>
      </c>
      <c r="B55" s="446" t="s">
        <v>0</v>
      </c>
      <c r="C55" s="447"/>
      <c r="D55" s="205"/>
      <c r="E55" s="255" t="s">
        <v>194</v>
      </c>
      <c r="F55" s="206"/>
      <c r="G55" s="250"/>
      <c r="H55" s="266"/>
      <c r="I55" s="304"/>
      <c r="J55" s="305"/>
      <c r="K55" s="280"/>
      <c r="L55" s="280"/>
      <c r="M55" s="281"/>
      <c r="N55" s="110"/>
      <c r="O55" s="110"/>
      <c r="P55" s="236"/>
      <c r="Q55" s="111"/>
      <c r="R55" s="111"/>
      <c r="S55" s="111"/>
      <c r="T55" s="111"/>
      <c r="U55" s="111"/>
      <c r="V55" s="111"/>
      <c r="W55" s="111"/>
      <c r="X55" s="111"/>
      <c r="Y55" s="111"/>
      <c r="Z55" s="111"/>
      <c r="AA55" s="111"/>
      <c r="AB55" s="111"/>
      <c r="AC55" s="111"/>
      <c r="AD55" s="111"/>
    </row>
    <row r="56" spans="1:30" ht="91.5" customHeight="1" thickTop="1">
      <c r="A56" s="198" t="s">
        <v>178</v>
      </c>
      <c r="B56" s="475"/>
      <c r="C56" s="476"/>
      <c r="D56" s="21"/>
      <c r="E56" s="480"/>
      <c r="F56" s="481"/>
      <c r="G56" s="250"/>
      <c r="H56" s="266"/>
      <c r="I56" s="304"/>
      <c r="J56" s="305"/>
      <c r="K56" s="288"/>
      <c r="L56" s="278"/>
      <c r="M56" s="279"/>
      <c r="N56" s="57" t="str">
        <f xml:space="preserve"> IF(B59='CFU associabili'!$B$60, 6,IF(B59='CFU associabili'!$B$61,12,IF(B59&lt;&gt;"", IF(B59&lt;12, 6, 12),"")))</f>
        <v/>
      </c>
      <c r="O56" s="54"/>
      <c r="P56" s="236" t="str">
        <f>IF(B61='Dati di input ammissibili'!$F$4, N56,"")</f>
        <v/>
      </c>
    </row>
    <row r="57" spans="1:30" ht="47.25" customHeight="1">
      <c r="A57" s="197" t="s">
        <v>75</v>
      </c>
      <c r="B57" s="450"/>
      <c r="C57" s="464"/>
      <c r="D57" s="223"/>
      <c r="E57" s="482"/>
      <c r="F57" s="483"/>
      <c r="G57" s="224"/>
      <c r="H57" s="256"/>
      <c r="I57" s="282" t="e">
        <f>VLOOKUP(B57,'Esami Riconoscibili (2)'!B56:D72,3,FALSE)</f>
        <v>#N/A</v>
      </c>
      <c r="J57" s="327"/>
      <c r="K57" s="470"/>
      <c r="L57" s="471"/>
      <c r="M57" s="279"/>
      <c r="O57" s="54"/>
      <c r="P57" s="238"/>
    </row>
    <row r="58" spans="1:30" ht="47.25" customHeight="1">
      <c r="A58" s="197" t="s">
        <v>314</v>
      </c>
      <c r="B58" s="450"/>
      <c r="C58" s="464"/>
      <c r="D58" s="223"/>
      <c r="E58" s="484"/>
      <c r="F58" s="485"/>
      <c r="G58" s="224"/>
      <c r="H58" s="256"/>
      <c r="I58" s="303"/>
      <c r="J58" s="303"/>
      <c r="K58" s="286"/>
      <c r="L58" s="287"/>
      <c r="M58" s="279"/>
      <c r="O58" s="54"/>
      <c r="P58" s="238"/>
    </row>
    <row r="59" spans="1:30" ht="47.25" customHeight="1">
      <c r="A59" s="198" t="s">
        <v>105</v>
      </c>
      <c r="B59" s="450"/>
      <c r="C59" s="464"/>
      <c r="D59" s="223"/>
      <c r="E59" s="456" t="str">
        <f>IF(AND(B59&gt;0,B59&lt;15,ISNUMBER(SEARCH("Vecchio",B56))),"CFU NON compatibili su esami del V.O. Segliere una durata semestrale o annuale",IF(AND(NOT(ISNUMBER(SEARCH("Vecchio",B56))),OR(B59='CFU associabili'!$B$60,B59='CFU associabili'!$B$61)),"Necessario inserire il numero dei CFU",""))</f>
        <v/>
      </c>
      <c r="F59" s="457"/>
      <c r="G59" s="224"/>
      <c r="H59" s="256"/>
      <c r="I59" s="303"/>
      <c r="J59" s="303"/>
      <c r="K59" s="286"/>
      <c r="L59" s="287"/>
      <c r="M59" s="279"/>
      <c r="O59" s="54"/>
      <c r="P59" s="238"/>
    </row>
    <row r="60" spans="1:30" ht="47.25" customHeight="1">
      <c r="A60" s="197" t="s">
        <v>2</v>
      </c>
      <c r="B60" s="450"/>
      <c r="C60" s="464"/>
      <c r="D60" s="223"/>
      <c r="E60" s="456" t="str">
        <f>IF(B60&lt;&gt;"", IF(AND(ISNUMBER(SEARCH("Vecchio",B56)),B60&lt;&gt;"V.O."),"Indicare V.O. e non il SSD, poiché non compatibile con il V.O.",IF(B57&lt;&gt;"",IF(B60&lt;&gt;"", IF(B60&lt;&gt;"V.O.", IF(B60&lt;&gt;VLOOKUP(B57,'Esami Riconoscibili (2)'!$B$56:$C$72,2,),"SSD non corrispondente a esame indicato",""),IF(ISNUMBER(SEARCH("Vecchio",B56)), "", "Si deve indicare un SSD ")),""),"")), "")</f>
        <v/>
      </c>
      <c r="F60" s="457"/>
      <c r="G60" s="224"/>
      <c r="H60" s="256"/>
      <c r="I60" s="303"/>
      <c r="J60" s="303"/>
      <c r="K60" s="286"/>
      <c r="L60" s="287"/>
      <c r="M60" s="279"/>
      <c r="O60" s="54"/>
      <c r="P60" s="238"/>
    </row>
    <row r="61" spans="1:30" ht="90" customHeight="1">
      <c r="A61" s="246" t="s">
        <v>185</v>
      </c>
      <c r="B61" s="450"/>
      <c r="C61" s="452"/>
      <c r="D61" s="223"/>
      <c r="E61" s="21"/>
      <c r="F61" s="245"/>
      <c r="G61" s="224"/>
      <c r="H61" s="256"/>
      <c r="I61" s="303"/>
      <c r="J61" s="303"/>
      <c r="K61" s="286"/>
      <c r="L61" s="287"/>
      <c r="M61" s="279"/>
      <c r="O61" s="54"/>
      <c r="P61" s="57"/>
    </row>
    <row r="62" spans="1:30" ht="47.25" customHeight="1" thickBot="1">
      <c r="A62" s="248"/>
      <c r="B62" s="458" t="str">
        <f>IF(AND(B56&lt;&gt;"",B57&lt;&gt;"",B58&lt;&gt;"",B59&lt;&gt;"",B60&lt;&gt;""),"",IF(OR(B56&lt;&gt;"",B57&lt;&gt;"",B58&lt;&gt;"",B59&lt;&gt;"",B60&lt;&gt;""),"Completare tutti i dati inseriti per l'Esame",""))</f>
        <v/>
      </c>
      <c r="C62" s="459"/>
      <c r="D62" s="201"/>
      <c r="E62" s="202"/>
      <c r="F62" s="203"/>
      <c r="G62" s="224"/>
      <c r="H62" s="256"/>
      <c r="I62" s="303"/>
      <c r="J62" s="303"/>
      <c r="K62" s="286"/>
      <c r="L62" s="287"/>
      <c r="M62" s="279"/>
      <c r="O62" s="56"/>
      <c r="P62" s="227"/>
    </row>
    <row r="63" spans="1:30" ht="47.25" customHeight="1" thickTop="1" thickBot="1">
      <c r="A63" s="465" t="str">
        <f>+IF(B57&lt;&gt;"", IF(IFERROR(I57,"error")&lt;&gt;1,"ATTENZIONE  se non appare anche una finestra con messaggio di errore di Excel, allora  SI STA COMPILANDO LA RICHESTA CON UNA VERSIONE NON CORRETTA DI EXCEL - Controllare i requisiti di sistema come da specifica o contattare didattica.scienze@uniss.it",""),"")</f>
        <v/>
      </c>
      <c r="B63" s="466"/>
      <c r="C63" s="466"/>
      <c r="D63" s="466"/>
      <c r="E63" s="466"/>
      <c r="F63" s="466"/>
      <c r="G63" s="224"/>
      <c r="H63" s="256"/>
      <c r="I63" s="303"/>
      <c r="J63" s="303"/>
      <c r="K63" s="286"/>
      <c r="L63" s="287"/>
      <c r="M63" s="279"/>
      <c r="O63" s="56"/>
      <c r="P63" s="227"/>
    </row>
    <row r="64" spans="1:30" ht="47.25" customHeight="1" thickTop="1" thickBot="1">
      <c r="A64" s="207" t="s">
        <v>203</v>
      </c>
      <c r="B64" s="446" t="s">
        <v>1</v>
      </c>
      <c r="C64" s="447"/>
      <c r="D64" s="241"/>
      <c r="E64" s="242"/>
      <c r="F64" s="243"/>
      <c r="G64" s="224"/>
      <c r="H64" s="256"/>
      <c r="I64" s="303"/>
      <c r="J64" s="303"/>
      <c r="K64" s="286"/>
      <c r="L64" s="287"/>
      <c r="M64" s="279"/>
      <c r="N64" s="57" t="str">
        <f xml:space="preserve"> IF(H64='CFU associabili'!$B$60, 6,IF(H64='CFU associabili'!$B$61,12,IF(H64&lt;&gt;"", IF(H64&lt;12, 6, 12),"")))</f>
        <v/>
      </c>
      <c r="O64" s="56"/>
      <c r="P64" s="227"/>
    </row>
    <row r="65" spans="1:30" ht="91.5" customHeight="1" thickTop="1">
      <c r="A65" s="198" t="s">
        <v>178</v>
      </c>
      <c r="B65" s="448"/>
      <c r="C65" s="449"/>
      <c r="D65" s="21"/>
      <c r="E65" s="473" t="str">
        <f>+IF(AND(B56="",B65&lt;&gt;""),"Compilare prima la riga per Esame 1","")</f>
        <v/>
      </c>
      <c r="F65" s="474"/>
      <c r="G65" s="251" t="str">
        <f t="shared" ref="G65" si="0">IF(AND(F65&lt;&gt;"",B65=""),"   Indicare un esame nella riga","")</f>
        <v/>
      </c>
      <c r="H65" s="40"/>
      <c r="I65" s="288"/>
      <c r="J65" s="288"/>
      <c r="K65" s="288"/>
      <c r="L65" s="278"/>
      <c r="M65" s="279"/>
      <c r="N65" s="57" t="str">
        <f xml:space="preserve"> IF(B68='CFU associabili'!$B$60, 6,IF(B68='CFU associabili'!$B$61,12,IF(B68&lt;&gt;"", IF(B68&lt;12, 6, 12),"")))</f>
        <v/>
      </c>
      <c r="O65" s="239" t="str">
        <f>IF(SUM(N56:N65)&gt;0, SUM(N56:N65), "")</f>
        <v/>
      </c>
      <c r="P65" s="236" t="str">
        <f>IF(B70='Dati di input ammissibili'!$F$4, N65,"")</f>
        <v/>
      </c>
    </row>
    <row r="66" spans="1:30" ht="47.25" customHeight="1">
      <c r="A66" s="197" t="s">
        <v>75</v>
      </c>
      <c r="B66" s="450"/>
      <c r="C66" s="464"/>
      <c r="D66" s="223"/>
      <c r="E66" s="190" t="str">
        <f>IF(AND(B65&lt;&gt;"",B66&lt;&gt;"",B67&lt;&gt;"",B68&lt;&gt;"",B69&lt;&gt;""),"",IF(OR(B65&lt;&gt;"",B66&lt;&gt;"",B67&lt;&gt;"",B68&lt;&gt;"",B69&lt;&gt;""),"Completare tutti i dati inseriti per l'Esame",""))</f>
        <v/>
      </c>
      <c r="F66" s="244"/>
      <c r="G66" s="224"/>
      <c r="H66" s="256"/>
      <c r="I66" s="469"/>
      <c r="J66" s="469"/>
      <c r="K66" s="470"/>
      <c r="L66" s="470"/>
      <c r="M66" s="279"/>
      <c r="O66" s="239"/>
      <c r="P66" s="227"/>
    </row>
    <row r="67" spans="1:30" ht="47.25" customHeight="1">
      <c r="A67" s="197" t="s">
        <v>314</v>
      </c>
      <c r="B67" s="450"/>
      <c r="C67" s="452"/>
      <c r="D67" s="223"/>
      <c r="E67" s="21"/>
      <c r="F67" s="245"/>
      <c r="G67" s="224"/>
      <c r="H67" s="256"/>
      <c r="I67" s="303"/>
      <c r="J67" s="303"/>
      <c r="K67" s="286"/>
      <c r="L67" s="286"/>
      <c r="M67" s="279"/>
      <c r="O67" s="239"/>
      <c r="P67" s="227"/>
    </row>
    <row r="68" spans="1:30" ht="47.25" customHeight="1">
      <c r="A68" s="198" t="s">
        <v>105</v>
      </c>
      <c r="B68" s="450"/>
      <c r="C68" s="451"/>
      <c r="D68" s="223"/>
      <c r="E68" s="456" t="str">
        <f>IF(AND(B68&gt;0,B68&lt;15,ISNUMBER(SEARCH("Vecchio",B65))),"CFU NON compatibili su esami del V.O. Segliere una durata semestrale o annuale",IF(AND(NOT(ISNUMBER(SEARCH("Vecchio",B65))),OR(B68='CFU associabili'!$B$60,B68='CFU associabili'!$B$61)),"Necessario inserire il numero dei CFU",""))</f>
        <v/>
      </c>
      <c r="F68" s="472"/>
      <c r="G68" s="224"/>
      <c r="H68" s="256"/>
      <c r="I68" s="303"/>
      <c r="J68" s="303"/>
      <c r="K68" s="286"/>
      <c r="L68" s="286"/>
      <c r="M68" s="279"/>
      <c r="O68" s="239"/>
      <c r="P68" s="227"/>
    </row>
    <row r="69" spans="1:30" ht="47.25" customHeight="1">
      <c r="A69" s="197" t="s">
        <v>2</v>
      </c>
      <c r="B69" s="450"/>
      <c r="C69" s="464"/>
      <c r="D69" s="223"/>
      <c r="E69" s="456" t="str">
        <f>IF(B69&lt;&gt;"", IF(AND(ISNUMBER(SEARCH("Vecchio",B65)),B69&lt;&gt;"V.O."),"Indicare V.O. e non il SSD, poiché non compatibile con il V.O.",IF(B66&lt;&gt;"",IF(B69&lt;&gt;"", IF(B69&lt;&gt;"V.O.", IF(B69&lt;&gt;VLOOKUP(B66,'Esami Riconoscibili (2)'!$B$56:$C$72,2,),"SSD non corrispondente a esame indicato",""),IF(ISNUMBER(SEARCH("Vecchio",B65)), "", "Si deve indicare un SSD ")),""),"")), "")</f>
        <v/>
      </c>
      <c r="F69" s="472"/>
      <c r="G69" s="224"/>
      <c r="H69" s="256"/>
      <c r="I69" s="303"/>
      <c r="J69" s="303"/>
      <c r="K69" s="286"/>
      <c r="L69" s="286"/>
      <c r="M69" s="279"/>
      <c r="O69" s="239"/>
      <c r="P69" s="227"/>
    </row>
    <row r="70" spans="1:30" ht="90" customHeight="1">
      <c r="A70" s="246" t="s">
        <v>185</v>
      </c>
      <c r="B70" s="450"/>
      <c r="C70" s="452"/>
      <c r="D70" s="223"/>
      <c r="E70" s="292" t="s">
        <v>194</v>
      </c>
      <c r="F70" s="245"/>
      <c r="G70" s="224"/>
      <c r="H70" s="256"/>
      <c r="I70" s="303"/>
      <c r="J70" s="303"/>
      <c r="K70" s="286"/>
      <c r="L70" s="286"/>
      <c r="M70" s="279"/>
      <c r="O70" s="239"/>
      <c r="P70" s="227"/>
    </row>
    <row r="71" spans="1:30" ht="47.25" customHeight="1">
      <c r="A71" s="247"/>
      <c r="B71" s="453" t="str">
        <f>IF(AND(B65&lt;&gt;"",B66&lt;&gt;"",B67&lt;&gt;"",B68&lt;&gt;"",B69&lt;&gt;""),"",IF(OR(B65&lt;&gt;"",B66&lt;&gt;"",B67&lt;&gt;"",B68&lt;&gt;"",B69&lt;&gt;""),"Completare tutti i dati inseriti per l'Esame",""))</f>
        <v/>
      </c>
      <c r="C71" s="454"/>
      <c r="D71" s="223"/>
      <c r="E71" s="486"/>
      <c r="F71" s="487"/>
      <c r="G71" s="224"/>
      <c r="H71" s="256"/>
      <c r="I71" s="303"/>
      <c r="J71" s="303"/>
      <c r="K71" s="286"/>
      <c r="L71" s="286"/>
      <c r="M71" s="279"/>
      <c r="O71" s="239"/>
      <c r="P71" s="227"/>
    </row>
    <row r="72" spans="1:30" ht="47.25" customHeight="1" thickBot="1">
      <c r="A72" s="248"/>
      <c r="B72" s="507" t="str">
        <f>+IF(AND(B57&lt;&gt;"", B57=B66),"Uno stesso Esame non può essere indicato più volte", "")</f>
        <v/>
      </c>
      <c r="C72" s="508"/>
      <c r="D72" s="201"/>
      <c r="E72" s="488"/>
      <c r="F72" s="489"/>
      <c r="G72" s="224"/>
      <c r="H72" s="256"/>
      <c r="I72" s="303"/>
      <c r="J72" s="303"/>
      <c r="K72" s="286"/>
      <c r="L72" s="286"/>
      <c r="M72" s="279"/>
      <c r="O72" s="239"/>
      <c r="P72" s="227"/>
    </row>
    <row r="73" spans="1:30" ht="36" customHeight="1" thickTop="1" thickBot="1">
      <c r="A73" s="23"/>
      <c r="B73" s="24"/>
      <c r="C73" s="24"/>
      <c r="D73" s="24"/>
      <c r="E73" s="24"/>
      <c r="F73" s="31"/>
      <c r="G73" s="212"/>
      <c r="H73" s="262"/>
      <c r="I73" s="278"/>
      <c r="J73" s="278"/>
      <c r="K73" s="278"/>
      <c r="L73" s="278"/>
      <c r="M73" s="279"/>
      <c r="O73" s="56"/>
      <c r="P73" s="227"/>
    </row>
    <row r="74" spans="1:30" ht="45" customHeight="1" thickBot="1">
      <c r="H74" s="262"/>
      <c r="I74" s="278"/>
      <c r="J74" s="278"/>
      <c r="K74" s="278"/>
      <c r="L74" s="278"/>
      <c r="M74" s="279"/>
      <c r="O74" s="56"/>
      <c r="P74" s="227"/>
    </row>
    <row r="75" spans="1:30" s="115" customFormat="1" ht="108" customHeight="1" thickBot="1">
      <c r="A75" s="467" t="s">
        <v>73</v>
      </c>
      <c r="B75" s="468"/>
      <c r="C75" s="294" t="s">
        <v>215</v>
      </c>
      <c r="D75" s="295"/>
      <c r="E75" s="296">
        <f>IF(+O87&lt;&gt;"", O87, 0)</f>
        <v>0</v>
      </c>
      <c r="F75" s="294" t="s">
        <v>231</v>
      </c>
      <c r="G75" s="297"/>
      <c r="H75" s="296">
        <f>+$K$102</f>
        <v>0</v>
      </c>
      <c r="I75" s="235"/>
      <c r="J75" s="235"/>
      <c r="K75" s="289"/>
      <c r="L75" s="289"/>
      <c r="M75" s="277"/>
      <c r="N75" s="113"/>
      <c r="O75" s="113"/>
      <c r="P75" s="234"/>
      <c r="Q75" s="235"/>
      <c r="R75" s="235"/>
      <c r="S75" s="235"/>
      <c r="T75" s="235"/>
      <c r="U75" s="235"/>
      <c r="V75" s="235"/>
      <c r="W75" s="235"/>
      <c r="X75" s="235"/>
      <c r="Y75" s="235"/>
      <c r="Z75" s="235"/>
      <c r="AA75" s="235"/>
      <c r="AB75" s="235"/>
      <c r="AC75" s="235"/>
      <c r="AD75" s="235"/>
    </row>
    <row r="76" spans="1:30" ht="12.75" customHeight="1" thickBot="1">
      <c r="A76" s="17"/>
      <c r="B76" s="18"/>
      <c r="C76" s="18"/>
      <c r="D76" s="18"/>
      <c r="E76" s="18"/>
      <c r="F76" s="18"/>
      <c r="G76" s="19"/>
      <c r="H76" s="262"/>
      <c r="I76" s="278"/>
      <c r="J76" s="278"/>
      <c r="K76" s="278"/>
      <c r="L76" s="278"/>
      <c r="M76" s="279"/>
      <c r="O76" s="56"/>
      <c r="P76" s="227"/>
    </row>
    <row r="77" spans="1:30" s="109" customFormat="1" ht="44.25" customHeight="1" thickTop="1" thickBot="1">
      <c r="A77" s="207" t="s">
        <v>204</v>
      </c>
      <c r="B77" s="446" t="s">
        <v>0</v>
      </c>
      <c r="C77" s="447"/>
      <c r="D77" s="205"/>
      <c r="E77" s="255" t="s">
        <v>194</v>
      </c>
      <c r="F77" s="206"/>
      <c r="G77" s="108"/>
      <c r="H77" s="264"/>
      <c r="I77" s="280"/>
      <c r="J77" s="280"/>
      <c r="K77" s="280"/>
      <c r="L77" s="280"/>
      <c r="M77" s="281"/>
      <c r="N77" s="110"/>
      <c r="O77" s="110"/>
      <c r="P77" s="236"/>
      <c r="Q77" s="111"/>
      <c r="R77" s="111"/>
      <c r="S77" s="111"/>
      <c r="T77" s="111"/>
      <c r="U77" s="111"/>
      <c r="V77" s="111"/>
      <c r="W77" s="111"/>
      <c r="X77" s="111"/>
      <c r="Y77" s="111"/>
      <c r="Z77" s="111"/>
      <c r="AA77" s="111"/>
      <c r="AB77" s="111"/>
      <c r="AC77" s="111"/>
      <c r="AD77" s="111"/>
    </row>
    <row r="78" spans="1:30" ht="91.5" customHeight="1" thickTop="1">
      <c r="A78" s="198" t="s">
        <v>178</v>
      </c>
      <c r="B78" s="448"/>
      <c r="C78" s="449"/>
      <c r="D78" s="21"/>
      <c r="E78" s="480"/>
      <c r="F78" s="481"/>
      <c r="G78" s="22"/>
      <c r="H78" s="262"/>
      <c r="I78" s="278"/>
      <c r="J78" s="278"/>
      <c r="K78" s="288"/>
      <c r="L78" s="278"/>
      <c r="M78" s="279"/>
      <c r="N78" s="57" t="str">
        <f xml:space="preserve"> IF(B81='CFU associabili'!$B$60, 6,IF(B81='CFU associabili'!$B$61,12,IF(B81&lt;&gt;"", IF(B81&lt;12, 6, 12),"")))</f>
        <v/>
      </c>
      <c r="O78" s="54"/>
      <c r="P78" s="236" t="str">
        <f>IF(B83='Dati di input ammissibili'!$F$4, N78,"")</f>
        <v/>
      </c>
    </row>
    <row r="79" spans="1:30" ht="61.5" customHeight="1">
      <c r="A79" s="197" t="s">
        <v>75</v>
      </c>
      <c r="B79" s="450"/>
      <c r="C79" s="451"/>
      <c r="D79" s="223"/>
      <c r="E79" s="482"/>
      <c r="F79" s="483"/>
      <c r="G79" s="22"/>
      <c r="H79" s="262"/>
      <c r="I79" s="282" t="e">
        <f>VLOOKUP(B79,'Esami Riconoscibili (2)'!B77:D105,3,FALSE)</f>
        <v>#N/A</v>
      </c>
      <c r="J79" s="303"/>
      <c r="K79" s="288"/>
      <c r="L79" s="278"/>
      <c r="M79" s="279"/>
      <c r="O79" s="54"/>
      <c r="P79" s="238"/>
    </row>
    <row r="80" spans="1:30" ht="47.25" customHeight="1">
      <c r="A80" s="197" t="s">
        <v>314</v>
      </c>
      <c r="B80" s="450"/>
      <c r="C80" s="452"/>
      <c r="D80" s="223"/>
      <c r="E80" s="484"/>
      <c r="F80" s="485"/>
      <c r="G80" s="224"/>
      <c r="H80" s="256"/>
      <c r="I80" s="303"/>
      <c r="J80" s="303"/>
      <c r="K80" s="286"/>
      <c r="L80" s="287"/>
      <c r="M80" s="279"/>
      <c r="O80" s="54"/>
      <c r="P80" s="238"/>
    </row>
    <row r="81" spans="1:30" ht="47.25" customHeight="1">
      <c r="A81" s="198" t="s">
        <v>105</v>
      </c>
      <c r="B81" s="450"/>
      <c r="C81" s="451"/>
      <c r="D81" s="223"/>
      <c r="E81" s="456" t="str">
        <f>IF(AND(B81&gt;0,B81&lt;15,ISNUMBER(SEARCH("Vecchio",B78))),"CFU NON compatibili su esami del V.O. Segliere una durata semestrale o annuale",IF(AND(NOT(ISNUMBER(SEARCH("Vecchio",B78))),OR(B81='CFU associabili'!$B$60,B81='CFU associabili'!$B$61)),"Necessario inserire il numero dei CFU",""))</f>
        <v/>
      </c>
      <c r="F81" s="457"/>
      <c r="G81" s="224"/>
      <c r="H81" s="256"/>
      <c r="I81" s="303"/>
      <c r="J81" s="303"/>
      <c r="K81" s="286"/>
      <c r="L81" s="287"/>
      <c r="M81" s="279"/>
      <c r="O81" s="54"/>
      <c r="P81" s="238"/>
    </row>
    <row r="82" spans="1:30" ht="47.25" customHeight="1">
      <c r="A82" s="197" t="s">
        <v>2</v>
      </c>
      <c r="B82" s="450"/>
      <c r="C82" s="451"/>
      <c r="D82" s="223"/>
      <c r="E82" s="456" t="str">
        <f>IF(B82&lt;&gt;"", IF(AND(ISNUMBER(SEARCH("Vecchio",B78)),B82&lt;&gt;"V.O."),"Indicare V.O. e non il SSD, poiché non compatibile con il V.O.",IF(B79&lt;&gt;"",IF(B82&lt;&gt;"", IF(B82&lt;&gt;"V.O.", IF(B82&lt;&gt;VLOOKUP(B79,'Esami Riconoscibili (2)'!$B$77:$C$105,2,),"SSD non corrispondente a esame indicato",""),IF(ISNUMBER(SEARCH("Vecchio",B78)), "", "Si deve indicare un SSD ")),""),"")), "")</f>
        <v/>
      </c>
      <c r="F82" s="457"/>
      <c r="G82" s="224"/>
      <c r="H82" s="256"/>
      <c r="I82" s="303"/>
      <c r="J82" s="303"/>
      <c r="K82" s="286"/>
      <c r="L82" s="287"/>
      <c r="M82" s="279"/>
      <c r="O82" s="54"/>
      <c r="P82" s="238"/>
    </row>
    <row r="83" spans="1:30" ht="84.75" customHeight="1">
      <c r="A83" s="246" t="s">
        <v>185</v>
      </c>
      <c r="B83" s="450"/>
      <c r="C83" s="452"/>
      <c r="D83" s="223"/>
      <c r="E83" s="21"/>
      <c r="F83" s="245"/>
      <c r="G83" s="224"/>
      <c r="H83" s="256"/>
      <c r="I83" s="303"/>
      <c r="J83" s="303"/>
      <c r="K83" s="286"/>
      <c r="L83" s="287"/>
      <c r="M83" s="279"/>
      <c r="O83" s="54"/>
      <c r="P83" s="57"/>
    </row>
    <row r="84" spans="1:30" ht="47.25" customHeight="1" thickBot="1">
      <c r="A84" s="248"/>
      <c r="B84" s="458" t="str">
        <f>IF(AND(B78&lt;&gt;"",B79&lt;&gt;"",B80&lt;&gt;"",B81&lt;&gt;"",B82&lt;&gt;""),"",IF(OR(B78&lt;&gt;"",B79&lt;&gt;"",B80&lt;&gt;"",B81&lt;&gt;"",B82&lt;&gt;""),"Completare tutti i dati inseriti per l'Esame",""))</f>
        <v/>
      </c>
      <c r="C84" s="459"/>
      <c r="D84" s="201"/>
      <c r="E84" s="202"/>
      <c r="F84" s="203"/>
      <c r="G84" s="224"/>
      <c r="H84" s="256"/>
      <c r="I84" s="303"/>
      <c r="J84" s="303"/>
      <c r="K84" s="286"/>
      <c r="L84" s="287"/>
      <c r="M84" s="279"/>
      <c r="O84" s="56"/>
      <c r="P84" s="227"/>
    </row>
    <row r="85" spans="1:30" s="60" customFormat="1" ht="47.25" customHeight="1" thickTop="1" thickBot="1">
      <c r="A85" s="465" t="str">
        <f>+IF(B79&lt;&gt;"", IF(IFERROR(I79,"error")&lt;&gt;1,"ATTENZIONE  se non appare anche una finestra con messaggio di errore di Excel, allora  SI STA COMPILANDO LA RICHESTA CON UNA VERSIONE NON CORRETTA DI EXCEL - Controllare i requisiti di sistema come da specifica o contattare didattica.scienze@uniss.it",""),"")</f>
        <v/>
      </c>
      <c r="B85" s="466"/>
      <c r="C85" s="466"/>
      <c r="D85" s="466"/>
      <c r="E85" s="466"/>
      <c r="F85" s="466"/>
      <c r="G85" s="252"/>
      <c r="H85" s="256"/>
      <c r="I85" s="303"/>
      <c r="J85" s="303"/>
      <c r="K85" s="286"/>
      <c r="L85" s="287"/>
      <c r="M85" s="279"/>
      <c r="N85" s="56"/>
      <c r="O85" s="56"/>
      <c r="P85" s="227"/>
      <c r="Q85" s="75"/>
      <c r="R85" s="75"/>
      <c r="S85" s="75"/>
      <c r="T85" s="75"/>
      <c r="U85" s="75"/>
      <c r="V85" s="75"/>
      <c r="W85" s="75"/>
      <c r="X85" s="75"/>
      <c r="Y85" s="75"/>
      <c r="Z85" s="75"/>
      <c r="AA85" s="75"/>
      <c r="AB85" s="75"/>
      <c r="AC85" s="75"/>
      <c r="AD85" s="75"/>
    </row>
    <row r="86" spans="1:30" ht="47.25" customHeight="1" thickTop="1" thickBot="1">
      <c r="A86" s="207" t="s">
        <v>204</v>
      </c>
      <c r="B86" s="446" t="s">
        <v>1</v>
      </c>
      <c r="C86" s="447"/>
      <c r="D86" s="241"/>
      <c r="E86" s="242"/>
      <c r="F86" s="243"/>
      <c r="G86" s="224"/>
      <c r="H86" s="256"/>
      <c r="I86" s="303"/>
      <c r="J86" s="303"/>
      <c r="K86" s="286"/>
      <c r="L86" s="287"/>
      <c r="M86" s="279"/>
      <c r="N86" s="57" t="str">
        <f xml:space="preserve"> IF(H86='CFU associabili'!$B$60, 6,IF(H86='CFU associabili'!$B$61,12,IF(H86&lt;&gt;"", IF(H86&lt;12, 6, 12),"")))</f>
        <v/>
      </c>
      <c r="O86" s="56"/>
      <c r="P86" s="227"/>
    </row>
    <row r="87" spans="1:30" ht="91.5" customHeight="1" thickTop="1">
      <c r="A87" s="198" t="s">
        <v>178</v>
      </c>
      <c r="B87" s="448"/>
      <c r="C87" s="449"/>
      <c r="D87" s="21"/>
      <c r="E87" s="473" t="str">
        <f>+IF(AND(B78="",B87&lt;&gt;""),"Compilare prima la riga per Esame 1","")</f>
        <v/>
      </c>
      <c r="F87" s="474"/>
      <c r="G87" s="253"/>
      <c r="H87" s="256"/>
      <c r="I87" s="303"/>
      <c r="J87" s="303"/>
      <c r="K87" s="288"/>
      <c r="L87" s="278"/>
      <c r="M87" s="279"/>
      <c r="N87" s="57" t="str">
        <f xml:space="preserve"> IF(B90='CFU associabili'!$B$60, 6,IF(B90='CFU associabili'!$B$61,12,IF(B90&lt;&gt;"", IF(B90&lt;12, 6, 12),"")))</f>
        <v/>
      </c>
      <c r="O87" s="239" t="str">
        <f>IF(SUM(N78:N87)&gt;0, SUM(N78:N87), "")</f>
        <v/>
      </c>
      <c r="P87" s="236" t="str">
        <f>IF(B92='Dati di input ammissibili'!$F$4, N87,"")</f>
        <v/>
      </c>
    </row>
    <row r="88" spans="1:30" ht="55.5" customHeight="1">
      <c r="A88" s="197" t="s">
        <v>75</v>
      </c>
      <c r="B88" s="450"/>
      <c r="C88" s="451"/>
      <c r="D88" s="223"/>
      <c r="E88" s="21"/>
      <c r="F88" s="244"/>
      <c r="G88" s="224"/>
      <c r="H88" s="256"/>
      <c r="I88" s="469"/>
      <c r="J88" s="469"/>
      <c r="K88" s="470"/>
      <c r="L88" s="470"/>
      <c r="M88" s="279"/>
      <c r="O88" s="239"/>
      <c r="P88" s="227"/>
    </row>
    <row r="89" spans="1:30" ht="47.25" customHeight="1">
      <c r="A89" s="197" t="s">
        <v>314</v>
      </c>
      <c r="B89" s="450"/>
      <c r="C89" s="452"/>
      <c r="D89" s="223"/>
      <c r="E89" s="21"/>
      <c r="F89" s="245"/>
      <c r="G89" s="224"/>
      <c r="H89" s="256"/>
      <c r="I89" s="303"/>
      <c r="J89" s="303"/>
      <c r="K89" s="286"/>
      <c r="L89" s="286"/>
      <c r="M89" s="279"/>
      <c r="O89" s="239"/>
      <c r="P89" s="227"/>
    </row>
    <row r="90" spans="1:30" ht="47.25" customHeight="1">
      <c r="A90" s="198" t="s">
        <v>105</v>
      </c>
      <c r="B90" s="450"/>
      <c r="C90" s="451"/>
      <c r="D90" s="223"/>
      <c r="E90" s="456" t="str">
        <f>IF(AND(B90&gt;0,B90&lt;15,ISNUMBER(SEARCH("Vecchio",B87))),"CFU NON compatibili su esami del V.O. Segliere una durata semestrale o annuale",IF(AND(NOT(ISNUMBER(SEARCH("Vecchio",B87))),OR(B90='CFU associabili'!$B$60,B90='CFU associabili'!$B$61)),"Necessario inserire il numero dei CFU",""))</f>
        <v/>
      </c>
      <c r="F90" s="472"/>
      <c r="G90" s="224"/>
      <c r="H90" s="256"/>
      <c r="I90" s="303"/>
      <c r="J90" s="303"/>
      <c r="K90" s="286"/>
      <c r="L90" s="286"/>
      <c r="M90" s="279"/>
      <c r="O90" s="239"/>
      <c r="P90" s="227"/>
    </row>
    <row r="91" spans="1:30" ht="47.25" customHeight="1">
      <c r="A91" s="197" t="s">
        <v>2</v>
      </c>
      <c r="B91" s="450"/>
      <c r="C91" s="451"/>
      <c r="D91" s="223"/>
      <c r="E91" s="456" t="str">
        <f>IF(B91&lt;&gt;"", IF(AND(ISNUMBER(SEARCH("Vecchio",B87)),B91&lt;&gt;"V.O."),"Indicare V.O. e non il SSD, poiché non compatibile con il V.O.",IF(B88&lt;&gt;"",IF(B91&lt;&gt;"", IF(B91&lt;&gt;"V.O.", IF(B91&lt;&gt;VLOOKUP(B88,'Esami Riconoscibili (2)'!$B$77:$C$105,2,),"SSD non corrispondente a esame indicato",""),IF(ISNUMBER(SEARCH("Vecchio",B87)), "", "Si deve indicare un SSD ")),""),"")), "")</f>
        <v/>
      </c>
      <c r="F91" s="472"/>
      <c r="G91" s="224"/>
      <c r="H91" s="256"/>
      <c r="I91" s="303"/>
      <c r="J91" s="303"/>
      <c r="K91" s="286"/>
      <c r="L91" s="286"/>
      <c r="M91" s="279"/>
      <c r="O91" s="239"/>
      <c r="P91" s="227"/>
    </row>
    <row r="92" spans="1:30" ht="84" customHeight="1">
      <c r="A92" s="246" t="s">
        <v>185</v>
      </c>
      <c r="B92" s="450"/>
      <c r="C92" s="452"/>
      <c r="D92" s="223"/>
      <c r="E92" s="292" t="s">
        <v>194</v>
      </c>
      <c r="F92" s="293"/>
      <c r="G92" s="224"/>
      <c r="H92" s="256"/>
      <c r="I92" s="303"/>
      <c r="J92" s="303"/>
      <c r="K92" s="286"/>
      <c r="L92" s="286"/>
      <c r="M92" s="279"/>
      <c r="O92" s="239"/>
      <c r="P92" s="227"/>
    </row>
    <row r="93" spans="1:30" ht="47.25" customHeight="1">
      <c r="A93" s="247"/>
      <c r="B93" s="490" t="str">
        <f>IF(AND(B87&lt;&gt;"",B88&lt;&gt;"",B89&lt;&gt;"",B90&lt;&gt;"",B91&lt;&gt;""),"",IF(OR(B87&lt;&gt;"",B88&lt;&gt;"",B89&lt;&gt;"",B90&lt;&gt;"",B91&lt;&gt;""),"Completare tutti i dati inseriti per l'Esame",""))</f>
        <v/>
      </c>
      <c r="C93" s="491"/>
      <c r="D93" s="223"/>
      <c r="E93" s="480"/>
      <c r="F93" s="481"/>
      <c r="G93" s="224"/>
      <c r="H93" s="256"/>
      <c r="I93" s="303"/>
      <c r="J93" s="303"/>
      <c r="K93" s="286"/>
      <c r="L93" s="286"/>
      <c r="M93" s="279"/>
      <c r="O93" s="239"/>
      <c r="P93" s="227"/>
    </row>
    <row r="94" spans="1:30" ht="47.25" customHeight="1">
      <c r="A94" s="247"/>
      <c r="B94" s="490" t="str">
        <f>+IF(AND(B79&lt;&gt;"", B79=B88),"Uno stesso Esame non può essere indicato più volte", "")</f>
        <v/>
      </c>
      <c r="C94" s="491"/>
      <c r="D94" s="223"/>
      <c r="E94" s="482"/>
      <c r="F94" s="483"/>
      <c r="G94" s="224"/>
      <c r="H94" s="256"/>
      <c r="I94" s="303"/>
      <c r="J94" s="303"/>
      <c r="K94" s="286"/>
      <c r="L94" s="286"/>
      <c r="M94" s="279"/>
      <c r="O94" s="239"/>
      <c r="P94" s="227"/>
    </row>
    <row r="95" spans="1:30" ht="47.25" customHeight="1" thickBot="1">
      <c r="A95" s="248"/>
      <c r="B95" s="462" t="str">
        <f>+IF(OR(AND(B79&lt;&gt;"", B79=B13),AND(B79&lt;&gt;"", B79=B22),AND(B88&lt;&gt;"", B88=B13),AND(B88&lt;&gt;"", B88=B22)),"Lo stesso Esame è stato indicato nei due ambiti 
A e D", "")</f>
        <v/>
      </c>
      <c r="C95" s="463"/>
      <c r="D95" s="201"/>
      <c r="E95" s="505"/>
      <c r="F95" s="506"/>
      <c r="G95" s="224"/>
      <c r="H95" s="256"/>
      <c r="I95" s="303"/>
      <c r="J95" s="303"/>
      <c r="K95" s="286"/>
      <c r="L95" s="286"/>
      <c r="M95" s="279"/>
      <c r="O95" s="239"/>
      <c r="P95" s="227"/>
    </row>
    <row r="96" spans="1:30" s="267" customFormat="1" ht="36" customHeight="1" thickTop="1" thickBot="1">
      <c r="A96" s="298"/>
      <c r="B96" s="299"/>
      <c r="C96" s="299"/>
      <c r="D96" s="299"/>
      <c r="E96" s="299"/>
      <c r="F96" s="31" t="str">
        <f>+IF(AND(F78&lt;&gt;"", F78=F87),"Uno stesso Esame si può indicare una sola volta", "")</f>
        <v/>
      </c>
      <c r="G96" s="212"/>
      <c r="H96" s="262"/>
      <c r="I96" s="278"/>
      <c r="J96" s="278"/>
      <c r="K96" s="278"/>
      <c r="L96" s="278"/>
      <c r="M96" s="279"/>
      <c r="N96" s="56"/>
      <c r="O96" s="56"/>
      <c r="P96" s="227"/>
      <c r="Q96" s="75"/>
      <c r="R96" s="75"/>
      <c r="S96" s="75"/>
      <c r="T96" s="75"/>
      <c r="U96" s="75"/>
      <c r="V96" s="75"/>
      <c r="W96" s="75"/>
      <c r="X96" s="75"/>
      <c r="Y96" s="75"/>
      <c r="Z96" s="75"/>
      <c r="AA96" s="75"/>
      <c r="AB96" s="75"/>
      <c r="AC96" s="75"/>
      <c r="AD96" s="75"/>
    </row>
    <row r="97" spans="1:30">
      <c r="H97" s="263"/>
      <c r="I97" s="279"/>
      <c r="J97" s="279"/>
      <c r="K97" s="279"/>
      <c r="L97" s="279"/>
      <c r="M97" s="278"/>
    </row>
    <row r="98" spans="1:30" ht="21">
      <c r="A98" s="12" t="s">
        <v>147</v>
      </c>
      <c r="F98" s="75"/>
      <c r="G98" s="75"/>
    </row>
    <row r="99" spans="1:30" ht="54.75" customHeight="1">
      <c r="A99" s="498" t="s">
        <v>144</v>
      </c>
      <c r="B99" s="493"/>
      <c r="C99" s="477" t="str">
        <f>+IF(OR(B28&lt;&gt;"", B50&lt;&gt;"", B72&lt;&gt;"",B94&lt;&gt;"",B95&lt;&gt;""),"Un Esame è stato indicato più volte, nello stesso ambito o tra gli ambiti A e D", "")</f>
        <v/>
      </c>
      <c r="D99" s="478"/>
      <c r="E99" s="478"/>
      <c r="F99" s="478"/>
      <c r="G99" s="478"/>
      <c r="H99" s="479"/>
      <c r="K99" s="56"/>
      <c r="L99" s="56"/>
      <c r="M99" s="227"/>
      <c r="N99" s="75"/>
      <c r="O99" s="75"/>
    </row>
    <row r="100" spans="1:30" ht="54.75" customHeight="1">
      <c r="A100" s="494"/>
      <c r="B100" s="495"/>
      <c r="C100" s="499" t="str">
        <f>+IF(AND(B28="", B50="", B72="",B94="",B95="",H75&lt;&gt;0),"Nota informativa :    ogni esame è stato inserito una sola volta, come richiesto.", "")</f>
        <v/>
      </c>
      <c r="D100" s="500"/>
      <c r="E100" s="500"/>
      <c r="F100" s="500"/>
      <c r="G100" s="500"/>
      <c r="H100" s="501"/>
      <c r="K100" s="56"/>
      <c r="L100" s="56"/>
      <c r="M100" s="227"/>
      <c r="N100" s="75"/>
      <c r="O100" s="75"/>
    </row>
    <row r="101" spans="1:30">
      <c r="K101" s="56"/>
      <c r="L101" s="56"/>
      <c r="M101" s="227"/>
      <c r="N101" s="75"/>
      <c r="O101" s="75"/>
    </row>
    <row r="102" spans="1:30" ht="81" customHeight="1">
      <c r="A102" s="492" t="s">
        <v>311</v>
      </c>
      <c r="B102" s="493"/>
      <c r="C102" s="477" t="str">
        <f>+IF(AND(K102=24, 'Dichiarazione Titoli di Studio'!E16&lt;&gt;""),"Attenzione ! :  Nel caso in cui si chieda il riconoscimento di tutti i 24 CFU l'ultimo titolo deve essere conseguito a Sassari", "")</f>
        <v/>
      </c>
      <c r="D102" s="478"/>
      <c r="E102" s="478"/>
      <c r="F102" s="478"/>
      <c r="G102" s="478"/>
      <c r="H102" s="479"/>
      <c r="I102" s="75" t="str">
        <f>+IF(K102&lt;24,"Attenzione ! :  E' necessario indicare Esami corrispondenti ad un totale di 24 CFU (1 semestrale è pari a 6 CFU)", "")</f>
        <v>Attenzione ! :  E' necessario indicare Esami corrispondenti ad un totale di 24 CFU (1 semestrale è pari a 6 CFU)</v>
      </c>
      <c r="K102" s="57">
        <f>SUM(N11:N87)</f>
        <v>0</v>
      </c>
      <c r="L102" s="56"/>
      <c r="M102" s="227"/>
      <c r="N102" s="75"/>
      <c r="O102" s="75"/>
    </row>
    <row r="103" spans="1:30" ht="81" customHeight="1">
      <c r="A103" s="496"/>
      <c r="B103" s="497"/>
      <c r="C103" s="477" t="str">
        <f>+IF(K102&gt;24,CONCATENATE(" Attenzione !    Sono stati inseriti  esami per  ",K102,"  CFU riconoscibili. E' necessario eliminare esami in modo che il totale dei crediti riconoscibili sia pari a 24 CFU"),"")</f>
        <v/>
      </c>
      <c r="D103" s="503"/>
      <c r="E103" s="503"/>
      <c r="F103" s="503"/>
      <c r="G103" s="503"/>
      <c r="H103" s="504"/>
      <c r="K103" s="57"/>
      <c r="L103" s="56"/>
      <c r="M103" s="227"/>
      <c r="N103" s="75"/>
      <c r="O103" s="75"/>
    </row>
    <row r="104" spans="1:30" ht="119.25" customHeight="1">
      <c r="A104" s="494"/>
      <c r="B104" s="495"/>
      <c r="C104" s="502" t="str">
        <f>+IF(K102=24,CONCATENATE("Nota informativa :    Sono stati inseriti  esami per  ",K102,"  CFU riconoscibili."),"")</f>
        <v/>
      </c>
      <c r="D104" s="478"/>
      <c r="E104" s="478"/>
      <c r="F104" s="478"/>
      <c r="G104" s="478"/>
      <c r="H104" s="479"/>
      <c r="K104" s="57"/>
      <c r="L104" s="56"/>
      <c r="M104" s="227"/>
      <c r="N104" s="75"/>
      <c r="O104" s="75"/>
    </row>
    <row r="105" spans="1:30" ht="19.5" customHeight="1">
      <c r="A105" s="11"/>
      <c r="C105" s="222"/>
      <c r="D105" s="62"/>
      <c r="E105" s="222"/>
      <c r="F105" s="222"/>
      <c r="G105" s="222"/>
      <c r="H105" s="258"/>
      <c r="K105" s="56"/>
      <c r="L105" s="56"/>
      <c r="M105" s="227"/>
      <c r="N105" s="75"/>
      <c r="O105" s="75"/>
    </row>
    <row r="106" spans="1:30" ht="57" customHeight="1">
      <c r="A106" s="492" t="s">
        <v>313</v>
      </c>
      <c r="B106" s="493"/>
      <c r="C106" s="477" t="str">
        <f>+IF(AND(L106&lt;3,K102=24 ),"Attenzione ! :  E' necessario indicare Esami in almeno 3 ambiti", "")</f>
        <v/>
      </c>
      <c r="D106" s="478"/>
      <c r="E106" s="478"/>
      <c r="F106" s="478"/>
      <c r="G106" s="478"/>
      <c r="H106" s="479"/>
      <c r="K106" s="56"/>
      <c r="L106" s="57">
        <f>COUNTIF(O12:O88,"&gt;0")</f>
        <v>0</v>
      </c>
      <c r="M106" s="227"/>
      <c r="N106" s="75"/>
      <c r="O106" s="75"/>
    </row>
    <row r="107" spans="1:30" ht="75.75" customHeight="1">
      <c r="A107" s="494"/>
      <c r="B107" s="495"/>
      <c r="C107" s="502"/>
      <c r="D107" s="478"/>
      <c r="E107" s="478"/>
      <c r="F107" s="478"/>
      <c r="G107" s="478"/>
      <c r="H107" s="479"/>
      <c r="K107" s="56"/>
      <c r="L107" s="56"/>
      <c r="M107" s="227"/>
      <c r="N107" s="75"/>
      <c r="O107" s="75"/>
    </row>
    <row r="108" spans="1:30">
      <c r="A108" s="147"/>
      <c r="C108" s="222"/>
      <c r="D108" s="63"/>
      <c r="E108" s="222"/>
      <c r="F108" s="222"/>
      <c r="G108" s="222"/>
      <c r="H108" s="258"/>
      <c r="K108" s="56"/>
      <c r="L108" s="56"/>
      <c r="M108" s="227"/>
      <c r="N108" s="75"/>
      <c r="O108" s="75"/>
    </row>
    <row r="109" spans="1:30" ht="61.5" customHeight="1">
      <c r="A109" s="439" t="s">
        <v>124</v>
      </c>
      <c r="B109" s="440"/>
      <c r="C109" s="477" t="str">
        <f>+IF(L109&gt;1,"Attenzione ! :  Si possono indicare crediti pari o superiori a 12 CFU  in UN SOLO Ambito", "")</f>
        <v/>
      </c>
      <c r="D109" s="478"/>
      <c r="E109" s="478"/>
      <c r="F109" s="478"/>
      <c r="G109" s="478"/>
      <c r="H109" s="479"/>
      <c r="K109" s="56"/>
      <c r="L109" s="57">
        <f>COUNTIF(O12:O88,"&gt;=12")</f>
        <v>0</v>
      </c>
      <c r="M109" s="227"/>
      <c r="N109" s="75"/>
      <c r="O109" s="75"/>
    </row>
    <row r="110" spans="1:30" s="124" customFormat="1">
      <c r="A110" s="123"/>
      <c r="C110" s="125"/>
      <c r="D110" s="125"/>
      <c r="E110" s="254"/>
      <c r="F110" s="254"/>
      <c r="G110" s="254"/>
      <c r="H110" s="259"/>
      <c r="I110" s="56"/>
      <c r="J110" s="56"/>
      <c r="K110" s="56"/>
      <c r="L110" s="56"/>
      <c r="M110" s="227"/>
      <c r="N110" s="56"/>
      <c r="O110" s="56"/>
      <c r="P110" s="56"/>
      <c r="Q110" s="56"/>
      <c r="R110" s="56"/>
      <c r="S110" s="56"/>
      <c r="T110" s="56"/>
      <c r="U110" s="56"/>
      <c r="V110" s="56"/>
      <c r="W110" s="56"/>
      <c r="X110" s="56"/>
      <c r="Y110" s="56"/>
      <c r="Z110" s="56"/>
      <c r="AA110" s="56"/>
      <c r="AB110" s="56"/>
      <c r="AC110" s="56"/>
      <c r="AD110" s="56"/>
    </row>
    <row r="111" spans="1:30" ht="46.5" customHeight="1">
      <c r="A111" s="439" t="s">
        <v>125</v>
      </c>
      <c r="B111" s="440"/>
      <c r="C111" s="477" t="str">
        <f>+IF(M111&gt;12,"Errore! :  è possibile riconoscere in modalità Teledicattica al massimo di 12 CFU", "")</f>
        <v/>
      </c>
      <c r="D111" s="478"/>
      <c r="E111" s="478"/>
      <c r="F111" s="478"/>
      <c r="G111" s="478"/>
      <c r="H111" s="479"/>
      <c r="K111" s="56"/>
      <c r="L111" s="56"/>
      <c r="M111" s="57">
        <f>SUM(P11:P87)</f>
        <v>0</v>
      </c>
      <c r="N111" s="75"/>
      <c r="O111" s="75"/>
    </row>
    <row r="112" spans="1:30" ht="18" customHeight="1"/>
    <row r="113" spans="1:8" ht="53.25" customHeight="1">
      <c r="A113" s="439" t="s">
        <v>108</v>
      </c>
      <c r="B113" s="440"/>
      <c r="C113" s="441" t="str">
        <f>+IF(AND(E15="",E16="",B18="",E21="",E24="",E25="",B27="",B28=""), "", "Errori rilevati negli esami dichiarati per l'ambito")</f>
        <v/>
      </c>
      <c r="D113" s="442"/>
      <c r="E113" s="442"/>
      <c r="F113" s="442"/>
      <c r="G113" s="442"/>
      <c r="H113" s="443"/>
    </row>
    <row r="114" spans="1:8" ht="53.25" customHeight="1">
      <c r="A114" s="439" t="s">
        <v>109</v>
      </c>
      <c r="B114" s="440"/>
      <c r="C114" s="441" t="str">
        <f>+IF(AND(E37="",E38="",B40="",E43="",E46="",E47="",B49="",B50=""), "", "Errori rilevati negli esami dichiarati per l'ambito")</f>
        <v/>
      </c>
      <c r="D114" s="442"/>
      <c r="E114" s="442"/>
      <c r="F114" s="442"/>
      <c r="G114" s="442"/>
      <c r="H114" s="443"/>
    </row>
    <row r="115" spans="1:8" ht="53.25" customHeight="1">
      <c r="A115" s="439" t="s">
        <v>110</v>
      </c>
      <c r="B115" s="440"/>
      <c r="C115" s="441" t="str">
        <f>+IF(AND(E59="",E60="",B62="",E65="",E68="",E69="",B71="",B72=""), "", "Errori rilevati negli esami dichiarati per l'ambito")</f>
        <v/>
      </c>
      <c r="D115" s="442"/>
      <c r="E115" s="442"/>
      <c r="F115" s="442"/>
      <c r="G115" s="442"/>
      <c r="H115" s="443"/>
    </row>
    <row r="116" spans="1:8" ht="53.25" customHeight="1">
      <c r="A116" s="439" t="s">
        <v>111</v>
      </c>
      <c r="B116" s="440"/>
      <c r="C116" s="441" t="str">
        <f>+IF(AND(E81="",E82="",B84="",E87="",E90="",E91="",B93="",B94="",B95=""), "", "Errori rilevati negli esami dichiarati per l'ambito")</f>
        <v/>
      </c>
      <c r="D116" s="442"/>
      <c r="E116" s="442"/>
      <c r="F116" s="442"/>
      <c r="G116" s="442"/>
      <c r="H116" s="443"/>
    </row>
  </sheetData>
  <sheetProtection algorithmName="SHA-512" hashValue="ZBdwLAh6SvG5n3x9Q0q5txyR86EE8g1WJnaO+EUyb6N8axaydM5EGBSKcDTw3XSHh6ykh9RjXs9yVBmsqbTdiA==" saltValue="u1o/5A56QdQlH4mGzxgPig==" spinCount="100000" sheet="1" selectLockedCells="1"/>
  <dataConsolidate/>
  <mergeCells count="142">
    <mergeCell ref="A53:B53"/>
    <mergeCell ref="A75:B75"/>
    <mergeCell ref="A7:F7"/>
    <mergeCell ref="E93:F95"/>
    <mergeCell ref="E56:F58"/>
    <mergeCell ref="E34:F36"/>
    <mergeCell ref="E71:F72"/>
    <mergeCell ref="E49:F50"/>
    <mergeCell ref="B58:C58"/>
    <mergeCell ref="E59:F59"/>
    <mergeCell ref="B34:C34"/>
    <mergeCell ref="E68:F68"/>
    <mergeCell ref="E69:F69"/>
    <mergeCell ref="B72:C72"/>
    <mergeCell ref="B77:C77"/>
    <mergeCell ref="B48:C48"/>
    <mergeCell ref="B49:C49"/>
    <mergeCell ref="B50:C50"/>
    <mergeCell ref="E46:F46"/>
    <mergeCell ref="B64:C64"/>
    <mergeCell ref="E65:F65"/>
    <mergeCell ref="E12:F14"/>
    <mergeCell ref="C113:H113"/>
    <mergeCell ref="B94:C94"/>
    <mergeCell ref="B93:C93"/>
    <mergeCell ref="E87:F87"/>
    <mergeCell ref="E90:F90"/>
    <mergeCell ref="E91:F91"/>
    <mergeCell ref="B89:C89"/>
    <mergeCell ref="B92:C92"/>
    <mergeCell ref="A113:B113"/>
    <mergeCell ref="A111:B111"/>
    <mergeCell ref="A109:B109"/>
    <mergeCell ref="A106:B107"/>
    <mergeCell ref="A102:B104"/>
    <mergeCell ref="A99:B100"/>
    <mergeCell ref="C100:H100"/>
    <mergeCell ref="C99:H99"/>
    <mergeCell ref="C102:H102"/>
    <mergeCell ref="C104:H104"/>
    <mergeCell ref="C106:H106"/>
    <mergeCell ref="B87:C87"/>
    <mergeCell ref="B88:C88"/>
    <mergeCell ref="C107:H107"/>
    <mergeCell ref="C103:H103"/>
    <mergeCell ref="C109:H109"/>
    <mergeCell ref="K57:L57"/>
    <mergeCell ref="A19:F19"/>
    <mergeCell ref="A52:F52"/>
    <mergeCell ref="C111:H111"/>
    <mergeCell ref="B71:C71"/>
    <mergeCell ref="B65:C65"/>
    <mergeCell ref="B66:C66"/>
    <mergeCell ref="E78:F80"/>
    <mergeCell ref="B26:C26"/>
    <mergeCell ref="B21:C21"/>
    <mergeCell ref="E21:F21"/>
    <mergeCell ref="B57:C57"/>
    <mergeCell ref="B67:C67"/>
    <mergeCell ref="B70:C70"/>
    <mergeCell ref="E27:F28"/>
    <mergeCell ref="A41:F41"/>
    <mergeCell ref="A63:F63"/>
    <mergeCell ref="I88:J88"/>
    <mergeCell ref="K88:L88"/>
    <mergeCell ref="B79:C79"/>
    <mergeCell ref="B80:C80"/>
    <mergeCell ref="E81:F81"/>
    <mergeCell ref="E82:F82"/>
    <mergeCell ref="A31:B31"/>
    <mergeCell ref="I66:J66"/>
    <mergeCell ref="K66:L66"/>
    <mergeCell ref="E60:F60"/>
    <mergeCell ref="B61:C61"/>
    <mergeCell ref="B62:C62"/>
    <mergeCell ref="B15:C15"/>
    <mergeCell ref="B17:C17"/>
    <mergeCell ref="B28:C28"/>
    <mergeCell ref="B55:C55"/>
    <mergeCell ref="K35:L35"/>
    <mergeCell ref="B42:C42"/>
    <mergeCell ref="B43:C43"/>
    <mergeCell ref="I43:J43"/>
    <mergeCell ref="K43:L43"/>
    <mergeCell ref="B35:C35"/>
    <mergeCell ref="B36:C36"/>
    <mergeCell ref="B39:C39"/>
    <mergeCell ref="E37:F37"/>
    <mergeCell ref="E38:F38"/>
    <mergeCell ref="B40:C40"/>
    <mergeCell ref="E43:F43"/>
    <mergeCell ref="E47:F47"/>
    <mergeCell ref="B46:C46"/>
    <mergeCell ref="B56:C56"/>
    <mergeCell ref="A2:F2"/>
    <mergeCell ref="A1:F1"/>
    <mergeCell ref="B95:C95"/>
    <mergeCell ref="B37:C37"/>
    <mergeCell ref="B38:C38"/>
    <mergeCell ref="B47:C47"/>
    <mergeCell ref="B59:C59"/>
    <mergeCell ref="B60:C60"/>
    <mergeCell ref="B68:C68"/>
    <mergeCell ref="B69:C69"/>
    <mergeCell ref="B81:C81"/>
    <mergeCell ref="B82:C82"/>
    <mergeCell ref="B90:C90"/>
    <mergeCell ref="B91:C91"/>
    <mergeCell ref="E15:F15"/>
    <mergeCell ref="B11:C11"/>
    <mergeCell ref="E24:F24"/>
    <mergeCell ref="E25:F25"/>
    <mergeCell ref="B14:C14"/>
    <mergeCell ref="B83:C83"/>
    <mergeCell ref="B84:C84"/>
    <mergeCell ref="B86:C86"/>
    <mergeCell ref="A85:F85"/>
    <mergeCell ref="A9:B9"/>
    <mergeCell ref="A114:B114"/>
    <mergeCell ref="A115:B115"/>
    <mergeCell ref="A116:B116"/>
    <mergeCell ref="C114:H114"/>
    <mergeCell ref="C115:H115"/>
    <mergeCell ref="C116:H116"/>
    <mergeCell ref="A5:F5"/>
    <mergeCell ref="A4:F4"/>
    <mergeCell ref="A6:F6"/>
    <mergeCell ref="B33:C33"/>
    <mergeCell ref="B78:C78"/>
    <mergeCell ref="B44:C44"/>
    <mergeCell ref="B45:C45"/>
    <mergeCell ref="B27:C27"/>
    <mergeCell ref="B20:C20"/>
    <mergeCell ref="B16:C16"/>
    <mergeCell ref="E16:F16"/>
    <mergeCell ref="B18:C18"/>
    <mergeCell ref="B12:C12"/>
    <mergeCell ref="B13:C13"/>
    <mergeCell ref="B22:C22"/>
    <mergeCell ref="B23:C23"/>
    <mergeCell ref="B24:C24"/>
    <mergeCell ref="B25:C25"/>
  </mergeCells>
  <dataValidations xWindow="509" yWindow="820" count="2">
    <dataValidation type="list" allowBlank="1" showInputMessage="1" showErrorMessage="1" sqref="B47" xr:uid="{00000000-0002-0000-0700-000000000000}">
      <formula1>$E$34:$E$37</formula1>
    </dataValidation>
    <dataValidation type="list" allowBlank="1" showInputMessage="1" showErrorMessage="1" sqref="B69:C69" xr:uid="{00000000-0002-0000-0700-000001000000}">
      <formula1>$E$53:$E$54</formula1>
    </dataValidation>
  </dataValidations>
  <pageMargins left="0.23622047244094491" right="0.23622047244094491" top="0.74803149606299213" bottom="0.74803149606299213" header="0.31496062992125984" footer="0.31496062992125984"/>
  <pageSetup paperSize="9" scale="53" fitToHeight="5" orientation="landscape" r:id="rId1"/>
  <headerFooter>
    <oddFooter>&amp;L&amp;F&amp;C&amp;P di &amp;N&amp;R&amp;A</oddFooter>
  </headerFooter>
  <rowBreaks count="1" manualBreakCount="1">
    <brk id="97" max="16383" man="1"/>
  </rowBreaks>
  <extLst>
    <ext xmlns:x14="http://schemas.microsoft.com/office/spreadsheetml/2009/9/main" uri="{CCE6A557-97BC-4b89-ADB6-D9C93CAAB3DF}">
      <x14:dataValidations xmlns:xm="http://schemas.microsoft.com/office/excel/2006/main" xWindow="509" yWindow="820" count="14">
        <x14:dataValidation type="list" allowBlank="1" showInputMessage="1" showErrorMessage="1" error="Scegliere solo gli esami dell' elenco" prompt="Selezionare un esame dall'elenco a discesa_x000a_" xr:uid="{00000000-0002-0000-0700-000002000000}">
          <x14:formula1>
            <xm:f>'Dati di input ammissibili'!$F$16:$F$29</xm:f>
          </x14:formula1>
          <xm:sqref>G87</xm:sqref>
        </x14:dataValidation>
        <x14:dataValidation type="list" allowBlank="1" showInputMessage="1" showErrorMessage="1" error="Scegliere solo gli esami dell' elenco" prompt="Selezionare un esame dall'elenco a discesa" xr:uid="{00000000-0002-0000-0700-000003000000}">
          <x14:formula1>
            <xm:f>'Esami Riconoscibili (2)'!$B$37:$B$51</xm:f>
          </x14:formula1>
          <xm:sqref>B35 B44</xm:sqref>
        </x14:dataValidation>
        <x14:dataValidation type="list" allowBlank="1" showInputMessage="1" showErrorMessage="1" prompt="Selezionare Durata(se V.O.) o CFU da elenco" xr:uid="{00000000-0002-0000-0700-000004000000}">
          <x14:formula1>
            <xm:f>'CFU associabili'!$B$60:$B$71</xm:f>
          </x14:formula1>
          <xm:sqref>B81 B90 B15:C15 B46:C46 B24:C24 B37 B68 B59</xm:sqref>
        </x14:dataValidation>
        <x14:dataValidation type="list" allowBlank="1" showInputMessage="1" showErrorMessage="1" error="Inserire il titolo di studio nel riquadro per la dichiarazione dei Titoli di Studio" xr:uid="{00000000-0002-0000-0700-000005000000}">
          <x14:formula1>
            <xm:f>'Dati Studi Universitari'!$C$25:$C$27</xm:f>
          </x14:formula1>
          <xm:sqref>B12:C12 B65:C65 B21:C21 B78:C78 B34:C34 B43:C43 B87:C87 B56:C56</xm:sqref>
        </x14:dataValidation>
        <x14:dataValidation type="list" allowBlank="1" showInputMessage="1" showErrorMessage="1" xr:uid="{00000000-0002-0000-0700-000006000000}">
          <x14:formula1>
            <xm:f>'CFU associabili'!$C$9:$C$12</xm:f>
          </x14:formula1>
          <xm:sqref>I34</xm:sqref>
        </x14:dataValidation>
        <x14:dataValidation type="list" allowBlank="1" showInputMessage="1" showErrorMessage="1" prompt="Selezionare un voto dall'elenco a discesa_x000a_" xr:uid="{00000000-0002-0000-0700-000007000000}">
          <x14:formula1>
            <xm:f>'Dati di input ammissibili'!$F$16:$F$29</xm:f>
          </x14:formula1>
          <xm:sqref>B14:C14 B23:C23 B36:C36 B45:C45 B80:C80 B67:C67 B89:C89 B58:C58</xm:sqref>
        </x14:dataValidation>
        <x14:dataValidation type="list" allowBlank="1" showInputMessage="1" showErrorMessage="1" xr:uid="{00000000-0002-0000-0700-000008000000}">
          <x14:formula1>
            <xm:f>'Esami Riconoscibili (2)'!$E$3:$E$7</xm:f>
          </x14:formula1>
          <xm:sqref>B16 B25</xm:sqref>
        </x14:dataValidation>
        <x14:dataValidation type="list" allowBlank="1" showInputMessage="1" showErrorMessage="1" xr:uid="{00000000-0002-0000-0700-000009000000}">
          <x14:formula1>
            <xm:f>'Esami Riconoscibili (2)'!$E$35:$E$38</xm:f>
          </x14:formula1>
          <xm:sqref>B38</xm:sqref>
        </x14:dataValidation>
        <x14:dataValidation type="list" allowBlank="1" showInputMessage="1" showErrorMessage="1" xr:uid="{00000000-0002-0000-0700-00000A000000}">
          <x14:formula1>
            <xm:f>'Esami Riconoscibili (2)'!$E$54:$E$55</xm:f>
          </x14:formula1>
          <xm:sqref>B60:C60</xm:sqref>
        </x14:dataValidation>
        <x14:dataValidation type="list" allowBlank="1" showInputMessage="1" showErrorMessage="1" prompt="(Opzionale) compilare solo se l'Esame è stato sostenuto in modalità teledidattica . _x000a_In caso contrario lasciare  il campo vuoto_x000a__x000a_(NB: sono consentiti al massimo 12 CFU in modalità teledidattica su _x000a_ tutta la dichiarazione)_x000a_" xr:uid="{00000000-0002-0000-0700-00000B000000}">
          <x14:formula1>
            <xm:f>'Dati di input ammissibili'!$F$4:$F$4</xm:f>
          </x14:formula1>
          <xm:sqref>B26:C26 B17:C17 B39:C39 B48:C48 B61:C61 B70:C70 B83:C83 B92:C92</xm:sqref>
        </x14:dataValidation>
        <x14:dataValidation type="list" allowBlank="1" showInputMessage="1" showErrorMessage="1" error="Scegliere solo gli esami dell' elenco" prompt="Selezionare un esame dall'elenco a discesa" xr:uid="{00000000-0002-0000-0700-00000C000000}">
          <x14:formula1>
            <xm:f>'Esami Riconoscibili (2)'!$B$56:$B$72</xm:f>
          </x14:formula1>
          <xm:sqref>B57:C57 B66:C66</xm:sqref>
        </x14:dataValidation>
        <x14:dataValidation type="list" allowBlank="1" showInputMessage="1" showErrorMessage="1" xr:uid="{00000000-0002-0000-0700-00000D000000}">
          <x14:formula1>
            <xm:f>'Esami Riconoscibili (2)'!$E$75:$E$81</xm:f>
          </x14:formula1>
          <xm:sqref>B82:C82 B91</xm:sqref>
        </x14:dataValidation>
        <x14:dataValidation type="list" allowBlank="1" showInputMessage="1" showErrorMessage="1" error="Scegliere solo gli esami dell' elenco" prompt="Selezionare un esame dall'elenco a discesa_x000a_" xr:uid="{00000000-0002-0000-0700-00000E000000}">
          <x14:formula1>
            <xm:f>'Esami Riconoscibili (2)'!$B$3:$B$32</xm:f>
          </x14:formula1>
          <xm:sqref>B13:C13 B22:C22</xm:sqref>
        </x14:dataValidation>
        <x14:dataValidation type="list" allowBlank="1" showInputMessage="1" showErrorMessage="1" error="Scegliere solo gli esami dell' elenco" prompt="Selezionare un esame dall'elenco a discesa" xr:uid="{00000000-0002-0000-0700-00000F000000}">
          <x14:formula1>
            <xm:f>'Esami Riconoscibili (2)'!$B$77:$B$105</xm:f>
          </x14:formula1>
          <xm:sqref>B88:C88 B79:C79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61">
    <tabColor rgb="FFFFFFCC"/>
    <pageSetUpPr fitToPage="1"/>
  </sheetPr>
  <dimension ref="D2:P18"/>
  <sheetViews>
    <sheetView tabSelected="1" workbookViewId="0">
      <selection activeCell="F11" sqref="F11"/>
    </sheetView>
  </sheetViews>
  <sheetFormatPr defaultColWidth="9.140625" defaultRowHeight="15"/>
  <cols>
    <col min="1" max="5" width="9.140625" style="10"/>
    <col min="6" max="6" width="10.7109375" style="10" bestFit="1" customWidth="1"/>
    <col min="7" max="16384" width="9.140625" style="10"/>
  </cols>
  <sheetData>
    <row r="2" spans="4:16" ht="32.25" customHeight="1">
      <c r="D2" s="511" t="str">
        <f>+IF('Controllo Errori'!B1&lt;&gt;"", "", "SONO PRESENTI ERRORI o La Dichiarazione è incompleta: La presente dichiarazione NON è valida NE' può essere trasmessa. Controllare nel foglio 'Controllo Errori'")</f>
        <v>SONO PRESENTI ERRORI o La Dichiarazione è incompleta: La presente dichiarazione NON è valida NE' può essere trasmessa. Controllare nel foglio 'Controllo Errori'</v>
      </c>
      <c r="E2" s="512"/>
      <c r="F2" s="512"/>
      <c r="G2" s="512"/>
      <c r="H2" s="512"/>
      <c r="I2" s="512"/>
      <c r="J2" s="512"/>
      <c r="K2" s="512"/>
      <c r="L2" s="512"/>
      <c r="M2" s="512"/>
      <c r="N2" s="512"/>
      <c r="O2" s="512"/>
      <c r="P2" s="512"/>
    </row>
    <row r="3" spans="4:16" ht="32.25" customHeight="1">
      <c r="D3" s="514" t="str">
        <f>+IF('Controllo Errori'!B1="", "", "CHIEDE")</f>
        <v/>
      </c>
      <c r="E3" s="510"/>
      <c r="F3" s="510"/>
      <c r="G3" s="510"/>
      <c r="H3" s="510"/>
      <c r="I3" s="510"/>
      <c r="J3" s="510"/>
      <c r="K3" s="510"/>
      <c r="L3" s="510"/>
      <c r="M3" s="510"/>
      <c r="N3" s="510"/>
      <c r="O3" s="510"/>
      <c r="P3" s="510"/>
    </row>
    <row r="4" spans="4:16" ht="123.75" customHeight="1">
      <c r="D4" s="517" t="str">
        <f>+IF('Controllo Errori'!B1&lt;&gt;"",CONCATENATE("1) il RILASCIO della dichiarazione che certifica il rispetto delle suddette condizioni (di cui all’art. 3, comma 7 del D.M. 616/2017)", "(qualora risultino effettivamente acquisiti nel rispetto delle condizioni previste all’art. 3, commi 3 e 4 del D.M. 616/2017 tutti i 24 CFU necessari) 
ovvero","
2) di COMPLETARE, usufruendo del piano di studi standard o individuale (in caso di piano individuale, compilare anche il modulo B), l’acquisizione dei CFU necessari per il rilascio della certificazione dell’acquisizione completa dei 24 CFU,"," nel rispetto delle condizioni, dei termini e delle modalità stabilite dal regolamento per l’organizzazione e la gestione del percorso formativo PF24 "," dell’Università degli Studi di Sassari (qualora risultino acquisiti nel rispetto delle condizioni previste all’art. 3, commi 3 e 4 del D.M. 616/2017 solo una parte dei 24 CFU)."),"")</f>
        <v/>
      </c>
      <c r="E4" s="510"/>
      <c r="F4" s="510"/>
      <c r="G4" s="510"/>
      <c r="H4" s="510"/>
      <c r="I4" s="510"/>
      <c r="J4" s="510"/>
      <c r="K4" s="510"/>
      <c r="L4" s="510"/>
      <c r="M4" s="510"/>
      <c r="N4" s="510"/>
      <c r="O4" s="510"/>
      <c r="P4" s="510"/>
    </row>
    <row r="5" spans="4:16" ht="56.25" customHeight="1">
      <c r="D5" s="517" t="str">
        <f>+IF('Controllo Errori'!B1&lt;&gt;"",CONCATENATE("Il sottoscritto dichiara di essere a conoscenza delle sanzioni penali conseguenti a dichiarazioni mendaci, formazione e/o uso ","di atti falsi di cui all’art. 76 del D.P.R. 28.12.2000, n. 445, e della decadenza dai benefici eventualmente conseguenti al provvedimento emanato in conformità a dichiarazioni non veritiere disposta dall’art. 75 del D.P.R. 28.12.2000, n. 445."),"")</f>
        <v/>
      </c>
      <c r="E5" s="510"/>
      <c r="F5" s="510"/>
      <c r="G5" s="510"/>
      <c r="H5" s="510"/>
      <c r="I5" s="510"/>
      <c r="J5" s="510"/>
      <c r="K5" s="510"/>
      <c r="L5" s="510"/>
      <c r="M5" s="510"/>
      <c r="N5" s="510"/>
      <c r="O5" s="510"/>
      <c r="P5" s="510"/>
    </row>
    <row r="7" spans="4:16" ht="56.25" customHeight="1">
      <c r="D7" s="517" t="s">
        <v>76</v>
      </c>
      <c r="E7" s="510"/>
      <c r="F7" s="510"/>
      <c r="G7" s="510"/>
      <c r="H7" s="510"/>
      <c r="I7" s="510"/>
      <c r="J7" s="510"/>
      <c r="K7" s="510"/>
      <c r="L7" s="510"/>
      <c r="M7" s="510"/>
      <c r="N7" s="510"/>
      <c r="O7" s="510"/>
      <c r="P7" s="510"/>
    </row>
    <row r="8" spans="4:16">
      <c r="D8" s="145"/>
    </row>
    <row r="9" spans="4:16">
      <c r="D9" s="145"/>
    </row>
    <row r="10" spans="4:16">
      <c r="D10" s="145"/>
    </row>
    <row r="11" spans="4:16" ht="39.75" customHeight="1">
      <c r="D11" s="146" t="s">
        <v>90</v>
      </c>
      <c r="F11" s="78"/>
      <c r="H11" s="146" t="s">
        <v>94</v>
      </c>
      <c r="I11" s="515" t="str">
        <f>+IF('Controllo Errori'!B1="", "Sono presenti errori o la Dichiarazione è incompleta. La Dichiarazione non può essere trasmessa", +IF('Dati Anagrafici'!C6&lt;&gt;"",'Dati Anagrafici'!C6,""))</f>
        <v>Sono presenti errori o la Dichiarazione è incompleta. La Dichiarazione non può essere trasmessa</v>
      </c>
      <c r="J11" s="515"/>
      <c r="K11" s="515"/>
      <c r="L11" s="515"/>
      <c r="M11" s="515"/>
      <c r="N11" s="515"/>
      <c r="O11" s="516"/>
      <c r="P11" s="516"/>
    </row>
    <row r="12" spans="4:16" ht="58.5" customHeight="1">
      <c r="D12" s="518" t="str">
        <f>+IF(F11="", "Indicare una data di presentazione compatibile con la data di scadenza indicata dal bando", "")</f>
        <v>Indicare una data di presentazione compatibile con la data di scadenza indicata dal bando</v>
      </c>
      <c r="E12" s="519"/>
      <c r="F12" s="519"/>
      <c r="G12" s="519"/>
      <c r="H12" s="520"/>
      <c r="I12" s="513" t="str">
        <f>+IF('Controllo Errori'!B1="","",+IF('Dati Anagrafici'!J6&lt;&gt;"",'Dati Anagrafici'!J6,""))</f>
        <v/>
      </c>
      <c r="J12" s="513"/>
      <c r="K12" s="513"/>
      <c r="L12" s="513"/>
      <c r="M12" s="513"/>
      <c r="N12" s="513"/>
      <c r="O12" s="513"/>
      <c r="P12" s="513"/>
    </row>
    <row r="14" spans="4:16" ht="33" customHeight="1">
      <c r="D14" s="509" t="str">
        <f>+IF('Controllo Errori'!B1="", "Sono presenti errori o la Dichiarazione è incompleta. La Dichiarazione non può essere trasmessa", "(La firma  non deve essere apposta se l'atto è predisposto e  trasmesso mediante strumenti informatici, ai sensi del D.Lgs. 4 aprile 2006, n. 159)")</f>
        <v>Sono presenti errori o la Dichiarazione è incompleta. La Dichiarazione non può essere trasmessa</v>
      </c>
      <c r="E14" s="509"/>
      <c r="F14" s="509"/>
      <c r="G14" s="509"/>
      <c r="H14" s="509"/>
      <c r="I14" s="509"/>
      <c r="J14" s="509"/>
      <c r="K14" s="509"/>
      <c r="L14" s="509"/>
      <c r="M14" s="509"/>
      <c r="N14" s="509"/>
      <c r="O14" s="509"/>
      <c r="P14" s="510"/>
    </row>
    <row r="16" spans="4:16">
      <c r="F16" s="141"/>
    </row>
    <row r="18" spans="6:6">
      <c r="F18" s="10" t="str">
        <f>+MID('Dati Anagrafici'!C6:H6,1,80)</f>
        <v/>
      </c>
    </row>
  </sheetData>
  <sheetProtection algorithmName="SHA-512" hashValue="6K0wZAy2NydT29NA283ufvmw+hGJPGRewHJ2a5ZWwPLvdTAmWaXFMISd++jExboj0zb/MuP15AzjfJSN12NL3Q==" saltValue="/MsdVCqLtgx2UEPI2frfaQ==" spinCount="100000" sheet="1" selectLockedCells="1"/>
  <mergeCells count="9">
    <mergeCell ref="D14:P14"/>
    <mergeCell ref="D2:P2"/>
    <mergeCell ref="I12:P12"/>
    <mergeCell ref="D3:P3"/>
    <mergeCell ref="I11:P11"/>
    <mergeCell ref="D4:P4"/>
    <mergeCell ref="D5:P5"/>
    <mergeCell ref="D7:P7"/>
    <mergeCell ref="D12:H12"/>
  </mergeCells>
  <dataValidations count="1">
    <dataValidation allowBlank="1" showInputMessage="1" showErrorMessage="1" prompt="_x000a_" sqref="I11:N11" xr:uid="{00000000-0002-0000-0800-000000000000}"/>
  </dataValidations>
  <pageMargins left="0.23622047244094491" right="0.23622047244094491" top="0.74803149606299213" bottom="0.74803149606299213" header="0.31496062992125984" footer="0.31496062992125984"/>
  <pageSetup paperSize="9" scale="99" orientation="landscape" r:id="rId1"/>
  <headerFooter>
    <oddFooter>&amp;L&amp;F&amp;C&amp;P di &amp;N&amp;R&amp;A</oddFooter>
  </headerFooter>
  <extLst>
    <ext xmlns:x14="http://schemas.microsoft.com/office/spreadsheetml/2009/9/main" uri="{CCE6A557-97BC-4b89-ADB6-D9C93CAAB3DF}">
      <x14:dataValidations xmlns:xm="http://schemas.microsoft.com/office/excel/2006/main" count="1">
        <x14:dataValidation type="date" operator="greaterThan" allowBlank="1" showInputMessage="1" showErrorMessage="1" error="Inserire una data consentita per _x000a_la trasmissione del documento" xr:uid="{00000000-0002-0000-0800-000001000000}">
          <x14:formula1>
            <xm:f>'Dati di input ammissibili'!J11</xm:f>
          </x14:formula1>
          <xm:sqref>F11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13</vt:i4>
      </vt:variant>
    </vt:vector>
  </HeadingPairs>
  <TitlesOfParts>
    <vt:vector size="26" baseType="lpstr">
      <vt:lpstr>CFU associabili</vt:lpstr>
      <vt:lpstr>Esami Riconoscibili (2)</vt:lpstr>
      <vt:lpstr>Dati Studi Universitari</vt:lpstr>
      <vt:lpstr>Dati di input ammissibili</vt:lpstr>
      <vt:lpstr>Dich Titoli (Vecchio) </vt:lpstr>
      <vt:lpstr>Dati Anagrafici</vt:lpstr>
      <vt:lpstr>Dichiarazione Titoli di Studio</vt:lpstr>
      <vt:lpstr>Dichiarazione Esami Sostenuti</vt:lpstr>
      <vt:lpstr>Sezione Finale</vt:lpstr>
      <vt:lpstr>Controllo Errori</vt:lpstr>
      <vt:lpstr>Foglio1</vt:lpstr>
      <vt:lpstr>Istruzioni per la compilazione</vt:lpstr>
      <vt:lpstr>Sintesi istanza</vt:lpstr>
      <vt:lpstr>'Controllo Errori'!Area_stampa</vt:lpstr>
      <vt:lpstr>'Dati Anagrafici'!Area_stampa</vt:lpstr>
      <vt:lpstr>'Dich Titoli (Vecchio) '!Area_stampa</vt:lpstr>
      <vt:lpstr>'Dichiarazione Esami Sostenuti'!Area_stampa</vt:lpstr>
      <vt:lpstr>'Dichiarazione Titoli di Studio'!Area_stampa</vt:lpstr>
      <vt:lpstr>'Esami Riconoscibili (2)'!Area_stampa</vt:lpstr>
      <vt:lpstr>'Istruzioni per la compilazione'!Area_stampa</vt:lpstr>
      <vt:lpstr>'Sezione Finale'!Area_stampa</vt:lpstr>
      <vt:lpstr>Esami_riconoscibili_A</vt:lpstr>
      <vt:lpstr>Esami_Riconoscibili_AMBITO_C</vt:lpstr>
      <vt:lpstr>Esami_Riconoscibili_B</vt:lpstr>
      <vt:lpstr>Esami_riconoscibili_D</vt:lpstr>
      <vt:lpstr>EsamiRiconoscibiliAMBITO_C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Vargiu Anna Paola</dc:creator>
  <cp:lastModifiedBy>SPANO Maria Teresa</cp:lastModifiedBy>
  <cp:lastPrinted>2021-03-29T17:33:55Z</cp:lastPrinted>
  <dcterms:created xsi:type="dcterms:W3CDTF">2018-03-02T11:13:46Z</dcterms:created>
  <dcterms:modified xsi:type="dcterms:W3CDTF">2024-01-17T08:31:25Z</dcterms:modified>
</cp:coreProperties>
</file>